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640" windowHeight="8190" activeTab="2"/>
  </bookViews>
  <sheets>
    <sheet name="CĐ-93" sheetId="1" r:id="rId1"/>
    <sheet name="94-THU " sheetId="2" r:id="rId2"/>
    <sheet name="95-CHI " sheetId="3" r:id="rId3"/>
  </sheets>
  <definedNames>
    <definedName name="_xlnm.Print_Titles" localSheetId="2">'95-CHI '!$6:$9</definedName>
  </definedNames>
  <calcPr fullCalcOnLoad="1"/>
</workbook>
</file>

<file path=xl/sharedStrings.xml><?xml version="1.0" encoding="utf-8"?>
<sst xmlns="http://schemas.openxmlformats.org/spreadsheetml/2006/main" count="180" uniqueCount="156">
  <si>
    <t xml:space="preserve">UBND THÀNH PHỐ TÂY NINH </t>
  </si>
  <si>
    <t xml:space="preserve"> THU NGÂN SÁCH NHÀ NƯỚC </t>
  </si>
  <si>
    <t xml:space="preserve">      ĐVT:  triệu đồng </t>
  </si>
  <si>
    <t>TT</t>
  </si>
  <si>
    <t>NỘI DUNG THU</t>
  </si>
  <si>
    <t xml:space="preserve">Thực hiện thu </t>
  </si>
  <si>
    <t>A</t>
  </si>
  <si>
    <t>B</t>
  </si>
  <si>
    <t>THU TỪ KHU VỰC CTN, DỊCH VỤ NQD</t>
  </si>
  <si>
    <t xml:space="preserve"> - Thuế Giá trị Gia tăng</t>
  </si>
  <si>
    <t xml:space="preserve"> - Thuế Thu nhập doanh nghiệp</t>
  </si>
  <si>
    <t xml:space="preserve"> - Thuế tiêu thụ đặc biệt</t>
  </si>
  <si>
    <t xml:space="preserve"> - Thuế Tài nguyên </t>
  </si>
  <si>
    <t xml:space="preserve">LỆ PHÍ TRƯỚC BẠ </t>
  </si>
  <si>
    <t xml:space="preserve"> - Thu lệ phí trước bạ nhà đất </t>
  </si>
  <si>
    <t xml:space="preserve"> - Lệ phí TB mô tô, xe máy, tàu thuyền </t>
  </si>
  <si>
    <t>THU TIỀN SỬ DỤNG ĐẤT</t>
  </si>
  <si>
    <t>THU PHÍ - LỆ PHÍ</t>
  </si>
  <si>
    <t>THUẾ THU NHẬP CÁ NHÂN</t>
  </si>
  <si>
    <t>THU TIỀN CHO THUÊ MẶT ĐẤT, MẶT NƯỚC</t>
  </si>
  <si>
    <t>THU TIỀN CẤP QUYỀN KHAI THÁC KHOÁNG SẢN</t>
  </si>
  <si>
    <t>THU KHÁC NSNN</t>
  </si>
  <si>
    <t xml:space="preserve"> Trong đó : + Thu phạt ATGT</t>
  </si>
  <si>
    <t xml:space="preserve">                     + Thu khác còn lại</t>
  </si>
  <si>
    <t>THU KHÁC TẠI XÃ</t>
  </si>
  <si>
    <t>Số TT</t>
  </si>
  <si>
    <t xml:space="preserve">Nội dung các khoản chi </t>
  </si>
  <si>
    <t xml:space="preserve">So sánh % DT </t>
  </si>
  <si>
    <t xml:space="preserve">So cùng kỳ </t>
  </si>
  <si>
    <t xml:space="preserve">TỈNH GIAO </t>
  </si>
  <si>
    <t>TP</t>
  </si>
  <si>
    <t>I</t>
  </si>
  <si>
    <t xml:space="preserve">CHI ĐẦU TƯ PHÁT TRIỂN </t>
  </si>
  <si>
    <t xml:space="preserve">Chi đầu tư XDCB </t>
  </si>
  <si>
    <t xml:space="preserve">Chi đầu tư tạo lập Quỹ phát triển đất </t>
  </si>
  <si>
    <t>II</t>
  </si>
  <si>
    <t xml:space="preserve">CHI THƯỜNG XUYÊN </t>
  </si>
  <si>
    <t>Chi sự nghiệp kinh tế</t>
  </si>
  <si>
    <t>a</t>
  </si>
  <si>
    <t xml:space="preserve">Sự nghiệp nông, lâm nghiệp </t>
  </si>
  <si>
    <t>b</t>
  </si>
  <si>
    <t>Sự nghiệp giao thông</t>
  </si>
  <si>
    <t xml:space="preserve">Trong đó: - KP đảm bảo trật tự ATGT </t>
  </si>
  <si>
    <t>c</t>
  </si>
  <si>
    <t xml:space="preserve">Sự nghiệp thị chính </t>
  </si>
  <si>
    <t>d</t>
  </si>
  <si>
    <t xml:space="preserve"> Chi Quy hoạch thương mại, du lịch </t>
  </si>
  <si>
    <t>e</t>
  </si>
  <si>
    <t xml:space="preserve">Sự nghiệp kinh tế khác </t>
  </si>
  <si>
    <t xml:space="preserve"> + Đội Quản lý trật tự  đô thị </t>
  </si>
  <si>
    <t xml:space="preserve"> + KP hỗ trợ địa phương SX lúa theo Nghị định số 35/2015/NĐ-CP </t>
  </si>
  <si>
    <t xml:space="preserve"> + Kinh phí đô thị loại  III, IV, V</t>
  </si>
  <si>
    <t xml:space="preserve">Sự nghiệp môi trường </t>
  </si>
  <si>
    <t xml:space="preserve">Chi sự nghiệp giáo dục và đào tạo </t>
  </si>
  <si>
    <t xml:space="preserve"> - Sự nghiệp giáo dục</t>
  </si>
  <si>
    <t xml:space="preserve">    + Mở lớp TCTC</t>
  </si>
  <si>
    <t xml:space="preserve">    + Mở các lớp bồi dưỡng thường xuyên </t>
  </si>
  <si>
    <t xml:space="preserve">Chi sự nghiệp Y tế </t>
  </si>
  <si>
    <t xml:space="preserve">Chi sự nghiệp Khoa học và Công nghệ </t>
  </si>
  <si>
    <t xml:space="preserve">Chi sự nghiệp văn hoá- thông tin </t>
  </si>
  <si>
    <t xml:space="preserve">Chi sự nghiệp Thể dục -Thể thao </t>
  </si>
  <si>
    <t>Chi sự nghiệp phát thanh truyền hình</t>
  </si>
  <si>
    <t>Chi đảm bảo XH</t>
  </si>
  <si>
    <t>Chi QL hành chính, Đảng, đoàn thể, TCXH</t>
  </si>
  <si>
    <t xml:space="preserve">Chi an ninh - Quốc phòng </t>
  </si>
  <si>
    <t xml:space="preserve"> - An ninh </t>
  </si>
  <si>
    <t xml:space="preserve"> - Quốc phòng </t>
  </si>
  <si>
    <t xml:space="preserve">Chi khác </t>
  </si>
  <si>
    <t xml:space="preserve">Nhiệm vụ chưa phân bổ </t>
  </si>
  <si>
    <t>III</t>
  </si>
  <si>
    <t xml:space="preserve">DỰ PHÒNG THEO QUY ĐỊNH </t>
  </si>
  <si>
    <t xml:space="preserve"> CHI NGÂN SÁCH NHÀ NƯỚC </t>
  </si>
  <si>
    <t>quý I /2017</t>
  </si>
  <si>
    <r>
      <t>Trong đó</t>
    </r>
    <r>
      <rPr>
        <i/>
        <sz val="13"/>
        <rFont val="Times New Roman"/>
        <family val="1"/>
      </rPr>
      <t>:  chi đầu tư cho giáo dục và dạy nghề</t>
    </r>
  </si>
  <si>
    <t xml:space="preserve">Trong đó </t>
  </si>
  <si>
    <t xml:space="preserve">Chi NS cấp Thành phố </t>
  </si>
  <si>
    <t xml:space="preserve">Chi NS cấp xã </t>
  </si>
  <si>
    <t xml:space="preserve"> - KP chưa phân bổ do khuyết BC khối SNGD</t>
  </si>
  <si>
    <t>2=3+4</t>
  </si>
  <si>
    <t>So sánh thực hiện với     ( %)</t>
  </si>
  <si>
    <t xml:space="preserve">DT năm </t>
  </si>
  <si>
    <t xml:space="preserve">Cùng kỳ </t>
  </si>
  <si>
    <t>STT</t>
  </si>
  <si>
    <t xml:space="preserve">Nội dung </t>
  </si>
  <si>
    <t>So sánh thực hiện (%)</t>
  </si>
  <si>
    <t xml:space="preserve">Dự toán năm </t>
  </si>
  <si>
    <t>So cùng kỳ</t>
  </si>
  <si>
    <t xml:space="preserve">Đơn vị :  Triệu đồng </t>
  </si>
  <si>
    <t>3=2/1</t>
  </si>
  <si>
    <t xml:space="preserve">CHI TỪ NGUỒN TỈNH BỔ SUNG CÓ MỤC TIÊU </t>
  </si>
  <si>
    <t>Chi cho các dự án quan trọng vốn đầu tư</t>
  </si>
  <si>
    <t xml:space="preserve">Chi cho các nhiệm vụ, chính sách kinh phí thường xuyên </t>
  </si>
  <si>
    <t>IV</t>
  </si>
  <si>
    <t xml:space="preserve">TỔNG CHI NGÂN SÁCH </t>
  </si>
  <si>
    <t xml:space="preserve"> - Chi sự nghiệp đào tạo, dạy nghề </t>
  </si>
  <si>
    <t xml:space="preserve">I </t>
  </si>
  <si>
    <t>Thu cân đối NSNN</t>
  </si>
  <si>
    <t xml:space="preserve">Thu viện trợ </t>
  </si>
  <si>
    <t xml:space="preserve">Thu chuyển nguồn từ năm trước </t>
  </si>
  <si>
    <t xml:space="preserve">TỔNG CHI NGÂN SÁCH HUYỆN </t>
  </si>
  <si>
    <t xml:space="preserve">Chi đầu tư phát triển </t>
  </si>
  <si>
    <t>Chi thường xuyên</t>
  </si>
  <si>
    <t xml:space="preserve">Dự phòng ngân sách </t>
  </si>
  <si>
    <t xml:space="preserve">Tổng chi cân đối ngân sách huyện </t>
  </si>
  <si>
    <t xml:space="preserve">TỔNG NGUỒN THU NSNN TRÊN ĐỊA BÀN </t>
  </si>
  <si>
    <r>
      <t xml:space="preserve"> </t>
    </r>
    <r>
      <rPr>
        <b/>
        <u val="single"/>
        <sz val="12"/>
        <rFont val="Times New Roman"/>
        <family val="1"/>
      </rPr>
      <t xml:space="preserve">TỔNG THU NSNN TRÊN ĐIA BÀN </t>
    </r>
  </si>
  <si>
    <t>THU NỘI ĐỊA</t>
  </si>
  <si>
    <t xml:space="preserve">THU VIỆN TRỢ </t>
  </si>
  <si>
    <t xml:space="preserve">THU NGÂN SÁCH HUYỆN ĐƯỢC HƯỞNG THEO PHÂN CẤP </t>
  </si>
  <si>
    <t>Từ các khoản thu phân chia</t>
  </si>
  <si>
    <t>Các khoản thu ngân sách huyện được hưởng 100%</t>
  </si>
  <si>
    <t xml:space="preserve">THUẾ SỬ DỤNG ĐẤT PHI NÔNG NGHIỆP </t>
  </si>
  <si>
    <t xml:space="preserve">Chi từ nguồn bổ sung có mục tiêu NS cấp tỉnh </t>
  </si>
  <si>
    <t>Chi tạo nguồn CCTL</t>
  </si>
  <si>
    <t xml:space="preserve">Thu bổ sung cân đối từ NS tỉnh </t>
  </si>
  <si>
    <t xml:space="preserve">Thu từ nguồn bổ sung có mục tiêu của NS tỉnh </t>
  </si>
  <si>
    <t xml:space="preserve">CHI TẠM ỨNG NGÂN SÁCH </t>
  </si>
  <si>
    <t>CHI BỔ SUNG NGÂN SÁCH CẤP DƯỚI</t>
  </si>
  <si>
    <r>
      <t>TỔNG CÁC KHOẢN CHI CÂN ĐỐI  NS</t>
    </r>
    <r>
      <rPr>
        <b/>
        <sz val="10"/>
        <rFont val="Times New Roman"/>
        <family val="1"/>
      </rPr>
      <t xml:space="preserve"> ( I+II+III+IV+V+VII)</t>
    </r>
  </si>
  <si>
    <t>Chi tạm ứng NS</t>
  </si>
  <si>
    <t>Chi bổ sung ngân sách cấp dưới</t>
  </si>
  <si>
    <t>Thu nội địa được hưởng theo phân cấp</t>
  </si>
  <si>
    <t>Biểu số 93/CK-NSNN</t>
  </si>
  <si>
    <t>Biểu số 94/CK-NSNN</t>
  </si>
  <si>
    <t xml:space="preserve">  ĐVT:  triệu đồng </t>
  </si>
  <si>
    <t>CÁC KHOẢN CHI NGOÀI CÔNG THỨC</t>
  </si>
  <si>
    <t>CHI NỘP TRẢ KINH PHÍ VỀ CẤP TRÊN</t>
  </si>
  <si>
    <t>C</t>
  </si>
  <si>
    <t>D</t>
  </si>
  <si>
    <t>E</t>
  </si>
  <si>
    <t>F</t>
  </si>
  <si>
    <t>Chi nộp trả kinh phí về cấp trên</t>
  </si>
  <si>
    <t>Các khoản chi ngoài công thức</t>
  </si>
  <si>
    <t>V</t>
  </si>
  <si>
    <t>VI</t>
  </si>
  <si>
    <t>Biểu số 95/CK-NSNN</t>
  </si>
  <si>
    <t xml:space="preserve"> Chi XDCB từ nguồn bổ sung MT tỉnh ( Nguồn XSKT)</t>
  </si>
  <si>
    <t>Chi từ nguồn thu tiền sử dụng đất</t>
  </si>
  <si>
    <t>Chi ủy thác ngân hàng chính sách xã hội</t>
  </si>
  <si>
    <t>Chi mua sắm sửa chữa cấp Thành phố</t>
  </si>
  <si>
    <t>Dự toán năm 2023</t>
  </si>
  <si>
    <t>Dự toán  thu năm 2023</t>
  </si>
  <si>
    <t>Dự toán chi NSNN năm 2023</t>
  </si>
  <si>
    <t>Chi bổ sung có mục tiêu cho ngân sách xã</t>
  </si>
  <si>
    <t>CHI TẠO NGUỒN CCTL NĂM 2022</t>
  </si>
  <si>
    <t>Chi nguồn tăng thu, tiết kiệm chi năm 2022</t>
  </si>
  <si>
    <t>CÂN ĐỐI NGÂN SÁCH HUYỆN QUÝ III NĂM 2023</t>
  </si>
  <si>
    <t>Thực hiện Quý III/2023</t>
  </si>
  <si>
    <t>Thực hiện quý 3/2022</t>
  </si>
  <si>
    <t>QUÝ III - NĂM 2023</t>
  </si>
  <si>
    <t>Thực hiện chi quý III/2023</t>
  </si>
  <si>
    <t>quý iii-2022</t>
  </si>
  <si>
    <t>Quý III/2022</t>
  </si>
  <si>
    <t xml:space="preserve"> Quý III/2023</t>
  </si>
  <si>
    <t>( Kèm theo Quyết định 357/QĐ-UBND ngày 06/10/2023  của Ủy ban nhân dân Thành phố )</t>
  </si>
  <si>
    <t>(Kèm theo Quyết định 357/QĐ-UBND ngày 06/10/2023  của Ủy ban nhân dân Thành phố 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</si>
</sst>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,,"/>
    <numFmt numFmtId="173" formatCode="#,##0.000"/>
    <numFmt numFmtId="174" formatCode="#,##0,"/>
    <numFmt numFmtId="175" formatCode="0.000"/>
  </numFmts>
  <fonts count="71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name val="VNI-Times"/>
      <family val="0"/>
    </font>
    <font>
      <b/>
      <sz val="11"/>
      <name val="Times New Roman"/>
      <family val="1"/>
    </font>
    <font>
      <b/>
      <sz val="9"/>
      <color indexed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0"/>
      <name val="VNI-Times"/>
      <family val="0"/>
    </font>
    <font>
      <i/>
      <sz val="11"/>
      <name val="VNI-Times"/>
      <family val="0"/>
    </font>
    <font>
      <i/>
      <sz val="11"/>
      <name val="Times New Roman"/>
      <family val="0"/>
    </font>
    <font>
      <sz val="12"/>
      <color indexed="10"/>
      <name val="Times New Roman"/>
      <family val="0"/>
    </font>
    <font>
      <i/>
      <sz val="10"/>
      <name val="Times New Roman"/>
      <family val="1"/>
    </font>
    <font>
      <sz val="8"/>
      <name val="Times New Roman"/>
      <family val="0"/>
    </font>
    <font>
      <sz val="12"/>
      <name val="VNI-Times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VNI-Times"/>
      <family val="0"/>
    </font>
    <font>
      <b/>
      <sz val="12"/>
      <name val="VNI-Times"/>
      <family val="0"/>
    </font>
    <font>
      <sz val="11"/>
      <name val="VNI-Times"/>
      <family val="0"/>
    </font>
    <font>
      <sz val="11"/>
      <color indexed="10"/>
      <name val="VNI-Times"/>
      <family val="0"/>
    </font>
    <font>
      <b/>
      <u val="single"/>
      <sz val="11"/>
      <name val="VNI-Times"/>
      <family val="0"/>
    </font>
    <font>
      <sz val="12"/>
      <color indexed="12"/>
      <name val="Times New Roman"/>
      <family val="0"/>
    </font>
    <font>
      <sz val="13"/>
      <name val="Times New Roman"/>
      <family val="1"/>
    </font>
    <font>
      <i/>
      <u val="single"/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1"/>
      <color indexed="10"/>
      <name val="VNI-Times"/>
      <family val="0"/>
    </font>
    <font>
      <b/>
      <sz val="13"/>
      <color indexed="10"/>
      <name val="Times New Roman"/>
      <family val="1"/>
    </font>
    <font>
      <b/>
      <sz val="12"/>
      <color indexed="10"/>
      <name val="VNI-Times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0"/>
    </font>
    <font>
      <sz val="12"/>
      <color indexed="12"/>
      <name val="VNI-Times"/>
      <family val="0"/>
    </font>
    <font>
      <b/>
      <sz val="11"/>
      <color indexed="12"/>
      <name val="Times New Roman"/>
      <family val="1"/>
    </font>
    <font>
      <sz val="12"/>
      <color indexed="10"/>
      <name val="VNI-Times"/>
      <family val="0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17" fontId="5" fillId="0" borderId="13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16" xfId="0" applyFont="1" applyBorder="1" applyAlignment="1">
      <alignment/>
    </xf>
    <xf numFmtId="17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19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Fill="1" applyBorder="1" applyAlignment="1">
      <alignment/>
    </xf>
    <xf numFmtId="0" fontId="0" fillId="0" borderId="19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172" fontId="0" fillId="0" borderId="19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/>
    </xf>
    <xf numFmtId="172" fontId="1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172" fontId="3" fillId="0" borderId="17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172" fontId="1" fillId="0" borderId="19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12" fillId="0" borderId="0" xfId="0" applyFont="1" applyAlignment="1">
      <alignment/>
    </xf>
    <xf numFmtId="172" fontId="13" fillId="0" borderId="17" xfId="0" applyNumberFormat="1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3" fontId="18" fillId="0" borderId="18" xfId="0" applyNumberFormat="1" applyFont="1" applyFill="1" applyBorder="1" applyAlignment="1">
      <alignment/>
    </xf>
    <xf numFmtId="174" fontId="18" fillId="0" borderId="18" xfId="0" applyNumberFormat="1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20" fillId="0" borderId="19" xfId="0" applyNumberFormat="1" applyFont="1" applyFill="1" applyBorder="1" applyAlignment="1">
      <alignment/>
    </xf>
    <xf numFmtId="174" fontId="20" fillId="0" borderId="18" xfId="0" applyNumberFormat="1" applyFont="1" applyFill="1" applyBorder="1" applyAlignment="1">
      <alignment/>
    </xf>
    <xf numFmtId="174" fontId="10" fillId="0" borderId="18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174" fontId="18" fillId="0" borderId="19" xfId="0" applyNumberFormat="1" applyFont="1" applyFill="1" applyBorder="1" applyAlignment="1">
      <alignment/>
    </xf>
    <xf numFmtId="0" fontId="18" fillId="0" borderId="19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7" fillId="0" borderId="19" xfId="0" applyFont="1" applyFill="1" applyBorder="1" applyAlignment="1">
      <alignment horizontal="right"/>
    </xf>
    <xf numFmtId="174" fontId="20" fillId="0" borderId="19" xfId="0" applyNumberFormat="1" applyFont="1" applyFill="1" applyBorder="1" applyAlignment="1">
      <alignment/>
    </xf>
    <xf numFmtId="3" fontId="21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19" xfId="0" applyFont="1" applyFill="1" applyBorder="1" applyAlignment="1">
      <alignment horizontal="right"/>
    </xf>
    <xf numFmtId="174" fontId="10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19" xfId="0" applyNumberFormat="1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7" fillId="0" borderId="19" xfId="0" applyFont="1" applyFill="1" applyBorder="1" applyAlignment="1">
      <alignment vertical="center"/>
    </xf>
    <xf numFmtId="3" fontId="20" fillId="0" borderId="19" xfId="0" applyNumberFormat="1" applyFont="1" applyFill="1" applyBorder="1" applyAlignment="1">
      <alignment vertical="center"/>
    </xf>
    <xf numFmtId="174" fontId="20" fillId="0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" fillId="0" borderId="19" xfId="0" applyNumberFormat="1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7" fillId="0" borderId="19" xfId="0" applyNumberFormat="1" applyFont="1" applyFill="1" applyBorder="1" applyAlignment="1">
      <alignment/>
    </xf>
    <xf numFmtId="0" fontId="24" fillId="0" borderId="19" xfId="0" applyNumberFormat="1" applyFont="1" applyFill="1" applyBorder="1" applyAlignment="1">
      <alignment/>
    </xf>
    <xf numFmtId="0" fontId="26" fillId="0" borderId="19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vertical="center" wrapText="1"/>
    </xf>
    <xf numFmtId="0" fontId="27" fillId="0" borderId="19" xfId="0" applyFont="1" applyFill="1" applyBorder="1" applyAlignment="1">
      <alignment/>
    </xf>
    <xf numFmtId="2" fontId="7" fillId="0" borderId="19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/>
    </xf>
    <xf numFmtId="3" fontId="18" fillId="0" borderId="20" xfId="0" applyNumberFormat="1" applyFont="1" applyFill="1" applyBorder="1" applyAlignment="1">
      <alignment/>
    </xf>
    <xf numFmtId="174" fontId="18" fillId="0" borderId="20" xfId="0" applyNumberFormat="1" applyFont="1" applyFill="1" applyBorder="1" applyAlignment="1">
      <alignment/>
    </xf>
    <xf numFmtId="172" fontId="19" fillId="0" borderId="18" xfId="0" applyNumberFormat="1" applyFont="1" applyFill="1" applyBorder="1" applyAlignment="1">
      <alignment/>
    </xf>
    <xf numFmtId="172" fontId="18" fillId="0" borderId="19" xfId="0" applyNumberFormat="1" applyFont="1" applyFill="1" applyBorder="1" applyAlignment="1">
      <alignment/>
    </xf>
    <xf numFmtId="172" fontId="15" fillId="0" borderId="19" xfId="0" applyNumberFormat="1" applyFont="1" applyFill="1" applyBorder="1" applyAlignment="1">
      <alignment/>
    </xf>
    <xf numFmtId="172" fontId="20" fillId="0" borderId="19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172" fontId="10" fillId="0" borderId="19" xfId="0" applyNumberFormat="1" applyFont="1" applyFill="1" applyBorder="1" applyAlignment="1">
      <alignment/>
    </xf>
    <xf numFmtId="172" fontId="11" fillId="0" borderId="19" xfId="0" applyNumberFormat="1" applyFont="1" applyFill="1" applyBorder="1" applyAlignment="1">
      <alignment/>
    </xf>
    <xf numFmtId="172" fontId="19" fillId="0" borderId="19" xfId="0" applyNumberFormat="1" applyFont="1" applyFill="1" applyBorder="1" applyAlignment="1">
      <alignment/>
    </xf>
    <xf numFmtId="172" fontId="0" fillId="0" borderId="19" xfId="0" applyNumberFormat="1" applyFill="1" applyBorder="1" applyAlignment="1">
      <alignment/>
    </xf>
    <xf numFmtId="172" fontId="22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>
      <alignment/>
    </xf>
    <xf numFmtId="172" fontId="15" fillId="0" borderId="19" xfId="0" applyNumberFormat="1" applyFont="1" applyFill="1" applyBorder="1" applyAlignment="1">
      <alignment vertical="center"/>
    </xf>
    <xf numFmtId="172" fontId="20" fillId="0" borderId="19" xfId="0" applyNumberFormat="1" applyFont="1" applyFill="1" applyBorder="1" applyAlignment="1">
      <alignment vertical="center"/>
    </xf>
    <xf numFmtId="172" fontId="7" fillId="0" borderId="19" xfId="0" applyNumberFormat="1" applyFont="1" applyFill="1" applyBorder="1" applyAlignment="1">
      <alignment vertical="center"/>
    </xf>
    <xf numFmtId="172" fontId="5" fillId="0" borderId="19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9" fillId="0" borderId="20" xfId="0" applyNumberFormat="1" applyFont="1" applyFill="1" applyBorder="1" applyAlignment="1">
      <alignment/>
    </xf>
    <xf numFmtId="172" fontId="18" fillId="0" borderId="20" xfId="0" applyNumberFormat="1" applyFont="1" applyFill="1" applyBorder="1" applyAlignment="1">
      <alignment/>
    </xf>
    <xf numFmtId="172" fontId="5" fillId="0" borderId="20" xfId="0" applyNumberFormat="1" applyFont="1" applyFill="1" applyBorder="1" applyAlignment="1">
      <alignment/>
    </xf>
    <xf numFmtId="0" fontId="3" fillId="0" borderId="0" xfId="0" applyNumberFormat="1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5" fillId="0" borderId="23" xfId="0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/>
    </xf>
    <xf numFmtId="3" fontId="18" fillId="0" borderId="23" xfId="0" applyNumberFormat="1" applyFont="1" applyFill="1" applyBorder="1" applyAlignment="1">
      <alignment/>
    </xf>
    <xf numFmtId="174" fontId="18" fillId="0" borderId="23" xfId="0" applyNumberFormat="1" applyFont="1" applyFill="1" applyBorder="1" applyAlignment="1">
      <alignment/>
    </xf>
    <xf numFmtId="172" fontId="19" fillId="0" borderId="23" xfId="0" applyNumberFormat="1" applyFont="1" applyFill="1" applyBorder="1" applyAlignment="1">
      <alignment/>
    </xf>
    <xf numFmtId="172" fontId="18" fillId="0" borderId="23" xfId="0" applyNumberFormat="1" applyFont="1" applyFill="1" applyBorder="1" applyAlignment="1">
      <alignment/>
    </xf>
    <xf numFmtId="172" fontId="7" fillId="0" borderId="23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/>
    </xf>
    <xf numFmtId="3" fontId="20" fillId="0" borderId="23" xfId="0" applyNumberFormat="1" applyFont="1" applyFill="1" applyBorder="1" applyAlignment="1">
      <alignment/>
    </xf>
    <xf numFmtId="174" fontId="20" fillId="0" borderId="23" xfId="0" applyNumberFormat="1" applyFont="1" applyFill="1" applyBorder="1" applyAlignment="1">
      <alignment/>
    </xf>
    <xf numFmtId="172" fontId="15" fillId="0" borderId="23" xfId="0" applyNumberFormat="1" applyFont="1" applyFill="1" applyBorder="1" applyAlignment="1">
      <alignment/>
    </xf>
    <xf numFmtId="172" fontId="20" fillId="0" borderId="2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1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5" fillId="0" borderId="18" xfId="0" applyNumberFormat="1" applyFont="1" applyFill="1" applyBorder="1" applyAlignment="1">
      <alignment horizontal="left"/>
    </xf>
    <xf numFmtId="2" fontId="5" fillId="0" borderId="20" xfId="0" applyNumberFormat="1" applyFont="1" applyFill="1" applyBorder="1" applyAlignment="1">
      <alignment/>
    </xf>
    <xf numFmtId="0" fontId="28" fillId="0" borderId="19" xfId="0" applyFont="1" applyFill="1" applyBorder="1" applyAlignment="1">
      <alignment horizontal="right"/>
    </xf>
    <xf numFmtId="0" fontId="29" fillId="0" borderId="19" xfId="0" applyNumberFormat="1" applyFont="1" applyFill="1" applyBorder="1" applyAlignment="1">
      <alignment/>
    </xf>
    <xf numFmtId="3" fontId="28" fillId="0" borderId="19" xfId="0" applyNumberFormat="1" applyFont="1" applyFill="1" applyBorder="1" applyAlignment="1">
      <alignment/>
    </xf>
    <xf numFmtId="174" fontId="28" fillId="0" borderId="19" xfId="0" applyNumberFormat="1" applyFont="1" applyFill="1" applyBorder="1" applyAlignment="1">
      <alignment/>
    </xf>
    <xf numFmtId="172" fontId="30" fillId="0" borderId="19" xfId="0" applyNumberFormat="1" applyFont="1" applyFill="1" applyBorder="1" applyAlignment="1">
      <alignment/>
    </xf>
    <xf numFmtId="172" fontId="28" fillId="0" borderId="19" xfId="0" applyNumberFormat="1" applyFont="1" applyFill="1" applyBorder="1" applyAlignment="1">
      <alignment/>
    </xf>
    <xf numFmtId="172" fontId="31" fillId="0" borderId="19" xfId="0" applyNumberFormat="1" applyFont="1" applyFill="1" applyBorder="1" applyAlignment="1">
      <alignment/>
    </xf>
    <xf numFmtId="172" fontId="31" fillId="0" borderId="19" xfId="0" applyNumberFormat="1" applyFont="1" applyFill="1" applyBorder="1" applyAlignment="1">
      <alignment/>
    </xf>
    <xf numFmtId="2" fontId="31" fillId="0" borderId="19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172" fontId="19" fillId="0" borderId="16" xfId="0" applyNumberFormat="1" applyFont="1" applyFill="1" applyBorder="1" applyAlignment="1">
      <alignment horizontal="right"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9" xfId="0" applyFont="1" applyBorder="1" applyAlignment="1">
      <alignment vertical="center" wrapText="1"/>
    </xf>
    <xf numFmtId="0" fontId="1" fillId="0" borderId="23" xfId="0" applyFont="1" applyBorder="1" applyAlignment="1">
      <alignment/>
    </xf>
    <xf numFmtId="172" fontId="1" fillId="0" borderId="23" xfId="0" applyNumberFormat="1" applyFont="1" applyBorder="1" applyAlignment="1">
      <alignment/>
    </xf>
    <xf numFmtId="172" fontId="1" fillId="0" borderId="18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1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5" fillId="0" borderId="19" xfId="0" applyFont="1" applyBorder="1" applyAlignment="1">
      <alignment/>
    </xf>
    <xf numFmtId="0" fontId="35" fillId="0" borderId="19" xfId="0" applyFont="1" applyBorder="1" applyAlignment="1">
      <alignment/>
    </xf>
    <xf numFmtId="0" fontId="0" fillId="0" borderId="19" xfId="0" applyFont="1" applyBorder="1" applyAlignment="1">
      <alignment/>
    </xf>
    <xf numFmtId="2" fontId="1" fillId="0" borderId="17" xfId="0" applyNumberFormat="1" applyFont="1" applyBorder="1" applyAlignment="1">
      <alignment vertical="center"/>
    </xf>
    <xf numFmtId="3" fontId="5" fillId="0" borderId="20" xfId="0" applyNumberFormat="1" applyFont="1" applyFill="1" applyBorder="1" applyAlignment="1">
      <alignment/>
    </xf>
    <xf numFmtId="2" fontId="0" fillId="0" borderId="19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172" fontId="0" fillId="0" borderId="19" xfId="0" applyNumberFormat="1" applyFont="1" applyBorder="1" applyAlignment="1">
      <alignment/>
    </xf>
    <xf numFmtId="0" fontId="36" fillId="0" borderId="19" xfId="0" applyFont="1" applyBorder="1" applyAlignment="1">
      <alignment/>
    </xf>
    <xf numFmtId="172" fontId="36" fillId="0" borderId="19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19" xfId="0" applyFont="1" applyFill="1" applyBorder="1" applyAlignment="1">
      <alignment/>
    </xf>
    <xf numFmtId="172" fontId="36" fillId="0" borderId="19" xfId="0" applyNumberFormat="1" applyFont="1" applyFill="1" applyBorder="1" applyAlignment="1">
      <alignment/>
    </xf>
    <xf numFmtId="2" fontId="36" fillId="0" borderId="19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172" fontId="7" fillId="0" borderId="23" xfId="0" applyNumberFormat="1" applyFont="1" applyFill="1" applyBorder="1" applyAlignment="1">
      <alignment/>
    </xf>
    <xf numFmtId="172" fontId="15" fillId="0" borderId="18" xfId="0" applyNumberFormat="1" applyFont="1" applyFill="1" applyBorder="1" applyAlignment="1">
      <alignment/>
    </xf>
    <xf numFmtId="0" fontId="33" fillId="0" borderId="12" xfId="0" applyFont="1" applyFill="1" applyBorder="1" applyAlignment="1">
      <alignment horizontal="center"/>
    </xf>
    <xf numFmtId="0" fontId="27" fillId="0" borderId="12" xfId="0" applyNumberFormat="1" applyFont="1" applyFill="1" applyBorder="1" applyAlignment="1">
      <alignment/>
    </xf>
    <xf numFmtId="172" fontId="34" fillId="0" borderId="19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3" fillId="0" borderId="10" xfId="0" applyFont="1" applyBorder="1" applyAlignment="1">
      <alignment/>
    </xf>
    <xf numFmtId="172" fontId="5" fillId="0" borderId="23" xfId="0" applyNumberFormat="1" applyFont="1" applyFill="1" applyBorder="1" applyAlignment="1">
      <alignment/>
    </xf>
    <xf numFmtId="172" fontId="5" fillId="0" borderId="25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24" fillId="0" borderId="19" xfId="0" applyNumberFormat="1" applyFont="1" applyBorder="1" applyAlignment="1">
      <alignment/>
    </xf>
    <xf numFmtId="0" fontId="24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right" vertical="center" wrapText="1"/>
    </xf>
    <xf numFmtId="172" fontId="15" fillId="0" borderId="19" xfId="0" applyNumberFormat="1" applyFont="1" applyFill="1" applyBorder="1" applyAlignment="1">
      <alignment horizontal="right" vertical="center" wrapText="1"/>
    </xf>
    <xf numFmtId="2" fontId="5" fillId="0" borderId="19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7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K14" sqref="K14"/>
    </sheetView>
  </sheetViews>
  <sheetFormatPr defaultColWidth="9.00390625" defaultRowHeight="15.75"/>
  <cols>
    <col min="1" max="1" width="5.25390625" style="0" customWidth="1"/>
    <col min="2" max="2" width="41.125" style="0" customWidth="1"/>
    <col min="3" max="3" width="12.875" style="0" customWidth="1"/>
    <col min="4" max="4" width="12.125" style="0" customWidth="1"/>
    <col min="5" max="5" width="9.375" style="0" customWidth="1"/>
    <col min="6" max="6" width="9.75390625" style="0" customWidth="1"/>
    <col min="7" max="7" width="15.125" style="0" customWidth="1"/>
  </cols>
  <sheetData>
    <row r="1" spans="1:5" ht="15.75">
      <c r="A1" s="1" t="s">
        <v>0</v>
      </c>
      <c r="E1" s="16" t="s">
        <v>122</v>
      </c>
    </row>
    <row r="2" spans="1:6" ht="18.75">
      <c r="A2" s="207" t="s">
        <v>146</v>
      </c>
      <c r="B2" s="207"/>
      <c r="C2" s="207"/>
      <c r="D2" s="207"/>
      <c r="E2" s="207"/>
      <c r="F2" s="207"/>
    </row>
    <row r="3" spans="1:6" ht="18.75">
      <c r="A3" s="207"/>
      <c r="B3" s="207"/>
      <c r="C3" s="207"/>
      <c r="D3" s="207"/>
      <c r="E3" s="207"/>
      <c r="F3" s="207"/>
    </row>
    <row r="4" spans="1:6" ht="15.75">
      <c r="A4" s="208" t="s">
        <v>154</v>
      </c>
      <c r="B4" s="208"/>
      <c r="C4" s="208"/>
      <c r="D4" s="208"/>
      <c r="E4" s="208"/>
      <c r="F4" s="208"/>
    </row>
    <row r="5" spans="1:6" ht="15.75">
      <c r="A5" s="109"/>
      <c r="B5" s="109"/>
      <c r="C5" s="109"/>
      <c r="D5" s="109"/>
      <c r="E5" s="109"/>
      <c r="F5" s="109"/>
    </row>
    <row r="6" ht="15.75">
      <c r="E6" s="112" t="s">
        <v>87</v>
      </c>
    </row>
    <row r="7" spans="1:7" ht="15.75">
      <c r="A7" s="204" t="s">
        <v>82</v>
      </c>
      <c r="B7" s="204" t="s">
        <v>83</v>
      </c>
      <c r="C7" s="204" t="s">
        <v>140</v>
      </c>
      <c r="D7" s="204" t="s">
        <v>147</v>
      </c>
      <c r="E7" s="202" t="s">
        <v>84</v>
      </c>
      <c r="F7" s="203"/>
      <c r="G7" s="204" t="s">
        <v>148</v>
      </c>
    </row>
    <row r="8" spans="1:7" ht="15.75">
      <c r="A8" s="205"/>
      <c r="B8" s="205"/>
      <c r="C8" s="205"/>
      <c r="D8" s="205"/>
      <c r="E8" s="209" t="s">
        <v>85</v>
      </c>
      <c r="F8" s="209" t="s">
        <v>86</v>
      </c>
      <c r="G8" s="205"/>
    </row>
    <row r="9" spans="1:7" ht="15.75">
      <c r="A9" s="206"/>
      <c r="B9" s="206"/>
      <c r="C9" s="206"/>
      <c r="D9" s="206"/>
      <c r="E9" s="210"/>
      <c r="F9" s="210"/>
      <c r="G9" s="206"/>
    </row>
    <row r="10" spans="1:6" ht="15.75">
      <c r="A10" s="111" t="s">
        <v>6</v>
      </c>
      <c r="B10" s="111" t="s">
        <v>7</v>
      </c>
      <c r="C10" s="111">
        <v>1</v>
      </c>
      <c r="D10" s="111">
        <v>2</v>
      </c>
      <c r="E10" s="111" t="s">
        <v>88</v>
      </c>
      <c r="F10" s="111">
        <v>4</v>
      </c>
    </row>
    <row r="11" spans="1:7" s="185" customFormat="1" ht="19.5" customHeight="1">
      <c r="A11" s="182" t="s">
        <v>6</v>
      </c>
      <c r="B11" s="182" t="s">
        <v>104</v>
      </c>
      <c r="C11" s="183">
        <f>C12+C16</f>
        <v>897966000000</v>
      </c>
      <c r="D11" s="183">
        <f>D12+D16</f>
        <v>156259000000</v>
      </c>
      <c r="E11" s="184">
        <f>D11/C11*100</f>
        <v>17.4014383618088</v>
      </c>
      <c r="F11" s="184">
        <f>D11/G11*100</f>
        <v>70.9249441710997</v>
      </c>
      <c r="G11" s="183">
        <f>G12+G16</f>
        <v>220316000000</v>
      </c>
    </row>
    <row r="12" spans="1:7" s="176" customFormat="1" ht="19.5" customHeight="1">
      <c r="A12" s="173" t="s">
        <v>95</v>
      </c>
      <c r="B12" s="173" t="s">
        <v>96</v>
      </c>
      <c r="C12" s="174">
        <f>C13+C14+C15</f>
        <v>767060000000</v>
      </c>
      <c r="D12" s="174">
        <f>D13+D14+D15</f>
        <v>156259000000</v>
      </c>
      <c r="E12" s="175">
        <f>D12/C12*100</f>
        <v>20.371157406200297</v>
      </c>
      <c r="F12" s="175">
        <f>D12/G12*100</f>
        <v>70.9249441710997</v>
      </c>
      <c r="G12" s="174">
        <f>G13+G14+G15</f>
        <v>220316000000</v>
      </c>
    </row>
    <row r="13" spans="1:7" ht="19.5" customHeight="1">
      <c r="A13" s="149">
        <v>1</v>
      </c>
      <c r="B13" s="149" t="s">
        <v>121</v>
      </c>
      <c r="C13" s="158">
        <v>767060000000</v>
      </c>
      <c r="D13" s="158">
        <v>156259000000</v>
      </c>
      <c r="E13" s="167">
        <f>D13/C13*100</f>
        <v>20.371157406200297</v>
      </c>
      <c r="F13" s="167">
        <f>D13/G13*100</f>
        <v>70.9249441710997</v>
      </c>
      <c r="G13" s="158">
        <v>220316000000</v>
      </c>
    </row>
    <row r="14" spans="1:7" ht="19.5" customHeight="1">
      <c r="A14" s="149">
        <v>2</v>
      </c>
      <c r="B14" s="149" t="s">
        <v>97</v>
      </c>
      <c r="C14" s="158"/>
      <c r="D14" s="158"/>
      <c r="E14" s="167"/>
      <c r="F14" s="167"/>
      <c r="G14" s="158"/>
    </row>
    <row r="15" spans="1:7" ht="19.5" customHeight="1">
      <c r="A15" s="149">
        <v>3</v>
      </c>
      <c r="B15" s="149" t="s">
        <v>114</v>
      </c>
      <c r="C15" s="158"/>
      <c r="D15" s="158"/>
      <c r="E15" s="167"/>
      <c r="F15" s="167"/>
      <c r="G15" s="158"/>
    </row>
    <row r="16" spans="1:7" s="1" customFormat="1" ht="19.5" customHeight="1">
      <c r="A16" s="148" t="s">
        <v>35</v>
      </c>
      <c r="B16" s="148" t="s">
        <v>115</v>
      </c>
      <c r="C16" s="157">
        <v>130906000000</v>
      </c>
      <c r="D16" s="157"/>
      <c r="E16" s="168">
        <f>D16/C16*100</f>
        <v>0</v>
      </c>
      <c r="F16" s="168"/>
      <c r="G16" s="157"/>
    </row>
    <row r="17" spans="1:7" s="1" customFormat="1" ht="19.5" customHeight="1">
      <c r="A17" s="148" t="s">
        <v>69</v>
      </c>
      <c r="B17" s="148" t="s">
        <v>98</v>
      </c>
      <c r="C17" s="157"/>
      <c r="D17" s="157"/>
      <c r="E17" s="168"/>
      <c r="F17" s="168"/>
      <c r="G17" s="157"/>
    </row>
    <row r="18" spans="1:7" s="185" customFormat="1" ht="19.5" customHeight="1">
      <c r="A18" s="186" t="s">
        <v>7</v>
      </c>
      <c r="B18" s="186" t="s">
        <v>99</v>
      </c>
      <c r="C18" s="36">
        <f>C19+C28</f>
        <v>897966000000</v>
      </c>
      <c r="D18" s="36">
        <f>D19+D28+D27+D26+D25+D24</f>
        <v>210639000000</v>
      </c>
      <c r="E18" s="187">
        <f>D18/C18*100</f>
        <v>23.457346937411884</v>
      </c>
      <c r="F18" s="187">
        <f>D18/G18*100</f>
        <v>122.01195565286902</v>
      </c>
      <c r="G18" s="36">
        <f>G19+G28+G27+G26+G25+G24</f>
        <v>172638000000</v>
      </c>
    </row>
    <row r="19" spans="1:7" s="172" customFormat="1" ht="19.5" customHeight="1">
      <c r="A19" s="170" t="s">
        <v>31</v>
      </c>
      <c r="B19" s="170" t="s">
        <v>103</v>
      </c>
      <c r="C19" s="171">
        <f>C20+C21+C22+C23</f>
        <v>872850000000</v>
      </c>
      <c r="D19" s="171">
        <f>D20+D21+D22+D23</f>
        <v>209540000000</v>
      </c>
      <c r="E19" s="171">
        <f>E20+E21+E22+E23</f>
        <v>51.47823105175328</v>
      </c>
      <c r="F19" s="171">
        <f>F20+F21+F22+F23</f>
        <v>262.67651811545664</v>
      </c>
      <c r="G19" s="171">
        <f>G20+G21+G22+G23</f>
        <v>168766000000</v>
      </c>
    </row>
    <row r="20" spans="1:7" ht="19.5" customHeight="1">
      <c r="A20" s="149">
        <v>1</v>
      </c>
      <c r="B20" s="149" t="s">
        <v>100</v>
      </c>
      <c r="C20" s="158">
        <v>323690000000</v>
      </c>
      <c r="D20" s="158">
        <v>99898000000</v>
      </c>
      <c r="E20" s="167">
        <f>D20/C20*100</f>
        <v>30.862244740337978</v>
      </c>
      <c r="F20" s="167">
        <f>D20/G20*100</f>
        <v>159.29138629333164</v>
      </c>
      <c r="G20" s="158">
        <v>62714000000</v>
      </c>
    </row>
    <row r="21" spans="1:7" ht="19.5" customHeight="1">
      <c r="A21" s="149">
        <v>2</v>
      </c>
      <c r="B21" s="149" t="s">
        <v>101</v>
      </c>
      <c r="C21" s="158">
        <v>531830000000</v>
      </c>
      <c r="D21" s="169">
        <v>109642000000</v>
      </c>
      <c r="E21" s="167">
        <f>D21/C21*100</f>
        <v>20.615986311415302</v>
      </c>
      <c r="F21" s="167">
        <f>D21/G21*100</f>
        <v>103.38513182212499</v>
      </c>
      <c r="G21" s="169">
        <v>106052000000</v>
      </c>
    </row>
    <row r="22" spans="1:7" ht="19.5" customHeight="1">
      <c r="A22" s="149">
        <v>3</v>
      </c>
      <c r="B22" s="149" t="s">
        <v>102</v>
      </c>
      <c r="C22" s="158">
        <v>17330000000</v>
      </c>
      <c r="D22" s="158"/>
      <c r="E22" s="167"/>
      <c r="F22" s="167"/>
      <c r="G22" s="158"/>
    </row>
    <row r="23" spans="1:7" ht="19.5" customHeight="1">
      <c r="A23" s="149">
        <v>4</v>
      </c>
      <c r="B23" s="149" t="s">
        <v>113</v>
      </c>
      <c r="C23" s="158"/>
      <c r="D23" s="158"/>
      <c r="E23" s="167"/>
      <c r="F23" s="167"/>
      <c r="G23" s="158"/>
    </row>
    <row r="24" spans="1:7" s="1" customFormat="1" ht="19.5" customHeight="1">
      <c r="A24" s="148" t="s">
        <v>35</v>
      </c>
      <c r="B24" s="148" t="s">
        <v>119</v>
      </c>
      <c r="C24" s="157"/>
      <c r="D24" s="157"/>
      <c r="E24" s="168"/>
      <c r="F24" s="168"/>
      <c r="G24" s="157">
        <v>681000000</v>
      </c>
    </row>
    <row r="25" spans="1:7" s="1" customFormat="1" ht="19.5" customHeight="1">
      <c r="A25" s="148" t="s">
        <v>69</v>
      </c>
      <c r="B25" s="148" t="s">
        <v>120</v>
      </c>
      <c r="C25" s="157"/>
      <c r="D25" s="157">
        <v>1099000000</v>
      </c>
      <c r="E25" s="168"/>
      <c r="F25" s="168"/>
      <c r="G25" s="157">
        <v>2992000000</v>
      </c>
    </row>
    <row r="26" spans="1:7" s="1" customFormat="1" ht="19.5" customHeight="1">
      <c r="A26" s="148" t="s">
        <v>92</v>
      </c>
      <c r="B26" s="148" t="s">
        <v>131</v>
      </c>
      <c r="C26" s="157"/>
      <c r="D26" s="157"/>
      <c r="E26" s="168"/>
      <c r="F26" s="168"/>
      <c r="G26" s="157">
        <v>199000000</v>
      </c>
    </row>
    <row r="27" spans="1:7" s="1" customFormat="1" ht="19.5" customHeight="1">
      <c r="A27" s="148" t="s">
        <v>133</v>
      </c>
      <c r="B27" s="148" t="s">
        <v>132</v>
      </c>
      <c r="C27" s="157"/>
      <c r="D27" s="157"/>
      <c r="E27" s="168"/>
      <c r="F27" s="168"/>
      <c r="G27" s="157"/>
    </row>
    <row r="28" spans="1:7" s="1" customFormat="1" ht="19.5" customHeight="1">
      <c r="A28" s="148" t="s">
        <v>134</v>
      </c>
      <c r="B28" s="148" t="s">
        <v>112</v>
      </c>
      <c r="C28" s="157">
        <v>25116000000</v>
      </c>
      <c r="D28" s="157"/>
      <c r="E28" s="168">
        <f>D28/C28*100</f>
        <v>0</v>
      </c>
      <c r="F28" s="168"/>
      <c r="G28" s="157"/>
    </row>
    <row r="29" spans="1:7" ht="19.5" customHeight="1">
      <c r="A29" s="40"/>
      <c r="B29" s="40"/>
      <c r="C29" s="40"/>
      <c r="D29" s="40"/>
      <c r="E29" s="40"/>
      <c r="F29" s="40"/>
      <c r="G29" s="16"/>
    </row>
  </sheetData>
  <sheetProtection/>
  <mergeCells count="11">
    <mergeCell ref="A7:A9"/>
    <mergeCell ref="E7:F7"/>
    <mergeCell ref="G7:G9"/>
    <mergeCell ref="A2:F2"/>
    <mergeCell ref="A3:F3"/>
    <mergeCell ref="A4:F4"/>
    <mergeCell ref="E8:E9"/>
    <mergeCell ref="F8:F9"/>
    <mergeCell ref="D7:D9"/>
    <mergeCell ref="C7:C9"/>
    <mergeCell ref="B7:B9"/>
  </mergeCells>
  <printOptions/>
  <pageMargins left="0.52" right="0.36" top="0.35" bottom="1" header="0.32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K12" sqref="K12"/>
    </sheetView>
  </sheetViews>
  <sheetFormatPr defaultColWidth="9.00390625" defaultRowHeight="15.75"/>
  <cols>
    <col min="1" max="1" width="5.625" style="0" customWidth="1"/>
    <col min="2" max="2" width="42.875" style="0" customWidth="1"/>
    <col min="3" max="3" width="12.75390625" style="0" customWidth="1"/>
    <col min="4" max="4" width="12.125" style="0" customWidth="1"/>
    <col min="5" max="5" width="9.875" style="0" customWidth="1"/>
    <col min="6" max="6" width="10.00390625" style="0" customWidth="1"/>
    <col min="7" max="7" width="14.875" style="0" customWidth="1"/>
    <col min="8" max="8" width="10.875" style="0" bestFit="1" customWidth="1"/>
  </cols>
  <sheetData>
    <row r="1" spans="1:5" ht="15.75">
      <c r="A1" s="1" t="s">
        <v>0</v>
      </c>
      <c r="E1" s="16" t="s">
        <v>123</v>
      </c>
    </row>
    <row r="2" spans="1:6" ht="18.75">
      <c r="A2" s="207" t="s">
        <v>1</v>
      </c>
      <c r="B2" s="207"/>
      <c r="C2" s="207"/>
      <c r="D2" s="207"/>
      <c r="E2" s="207"/>
      <c r="F2" s="207"/>
    </row>
    <row r="3" spans="1:6" ht="18.75">
      <c r="A3" s="207" t="s">
        <v>149</v>
      </c>
      <c r="B3" s="207"/>
      <c r="C3" s="207"/>
      <c r="D3" s="207"/>
      <c r="E3" s="207"/>
      <c r="F3" s="207"/>
    </row>
    <row r="4" spans="1:6" ht="18.75" customHeight="1">
      <c r="A4" s="208" t="s">
        <v>154</v>
      </c>
      <c r="B4" s="208"/>
      <c r="C4" s="208"/>
      <c r="D4" s="208"/>
      <c r="E4" s="208"/>
      <c r="F4" s="208"/>
    </row>
    <row r="5" spans="2:6" ht="16.5">
      <c r="B5" s="2"/>
      <c r="C5" s="3"/>
      <c r="D5" s="3"/>
      <c r="E5" s="4" t="s">
        <v>2</v>
      </c>
      <c r="F5" s="3"/>
    </row>
    <row r="6" spans="1:7" ht="30" customHeight="1">
      <c r="A6" s="211" t="s">
        <v>3</v>
      </c>
      <c r="B6" s="211" t="s">
        <v>4</v>
      </c>
      <c r="C6" s="211" t="s">
        <v>141</v>
      </c>
      <c r="D6" s="5" t="s">
        <v>5</v>
      </c>
      <c r="E6" s="213" t="s">
        <v>79</v>
      </c>
      <c r="F6" s="214"/>
      <c r="G6" s="6" t="s">
        <v>152</v>
      </c>
    </row>
    <row r="7" spans="1:7" ht="24" customHeight="1">
      <c r="A7" s="212"/>
      <c r="B7" s="212"/>
      <c r="C7" s="212"/>
      <c r="D7" s="7" t="s">
        <v>153</v>
      </c>
      <c r="E7" s="110" t="s">
        <v>80</v>
      </c>
      <c r="F7" s="8" t="s">
        <v>81</v>
      </c>
      <c r="G7" s="9"/>
    </row>
    <row r="8" spans="1:7" s="16" customFormat="1" ht="15">
      <c r="A8" s="10" t="s">
        <v>6</v>
      </c>
      <c r="B8" s="11" t="s">
        <v>7</v>
      </c>
      <c r="C8" s="11">
        <v>1</v>
      </c>
      <c r="D8" s="12">
        <v>2</v>
      </c>
      <c r="E8" s="13" t="s">
        <v>88</v>
      </c>
      <c r="F8" s="14">
        <v>4</v>
      </c>
      <c r="G8" s="15"/>
    </row>
    <row r="9" spans="1:8" ht="17.25" customHeight="1">
      <c r="A9" s="17" t="s">
        <v>6</v>
      </c>
      <c r="B9" s="152" t="s">
        <v>105</v>
      </c>
      <c r="C9" s="18">
        <f>C10+C29</f>
        <v>774760000000</v>
      </c>
      <c r="D9" s="18">
        <f>D10+D29</f>
        <v>161018205618</v>
      </c>
      <c r="E9" s="19">
        <f>D9/C9*100</f>
        <v>20.7829786795911</v>
      </c>
      <c r="F9" s="20">
        <f>D9/G9*100</f>
        <v>74.61524463526075</v>
      </c>
      <c r="G9" s="18">
        <f>G10+G29</f>
        <v>215798000000</v>
      </c>
      <c r="H9" s="21"/>
    </row>
    <row r="10" spans="1:8" ht="17.25" customHeight="1">
      <c r="A10" s="150" t="s">
        <v>31</v>
      </c>
      <c r="B10" s="151" t="s">
        <v>106</v>
      </c>
      <c r="C10" s="156">
        <f>C11+C16+C19+C20+C21+C22+C23+C25+C28</f>
        <v>774760000000</v>
      </c>
      <c r="D10" s="156">
        <f>D11+D16+D19+D20+D21+D22+D23+D25+D28</f>
        <v>161018205618</v>
      </c>
      <c r="E10" s="24">
        <f>D10/C10*100</f>
        <v>20.7829786795911</v>
      </c>
      <c r="F10" s="25">
        <f>D10/G10*100</f>
        <v>74.61524463526075</v>
      </c>
      <c r="G10" s="156">
        <f>G11+G16+G19+G20+G21+G22+G23+G25+G28</f>
        <v>215798000000</v>
      </c>
      <c r="H10" s="21"/>
    </row>
    <row r="11" spans="1:7" ht="17.25" customHeight="1">
      <c r="A11" s="162">
        <v>1</v>
      </c>
      <c r="B11" s="22" t="s">
        <v>8</v>
      </c>
      <c r="C11" s="23">
        <f>C12+C13+C14+C15</f>
        <v>283700000000</v>
      </c>
      <c r="D11" s="23">
        <f>D12+D13+D14+D15</f>
        <v>58841422263</v>
      </c>
      <c r="E11" s="24">
        <f>D11/C11*100</f>
        <v>20.740719867113146</v>
      </c>
      <c r="F11" s="25">
        <f>D11/G11*100</f>
        <v>96.42657117596933</v>
      </c>
      <c r="G11" s="23">
        <f>G12+G13+G14+G15</f>
        <v>61022000000</v>
      </c>
    </row>
    <row r="12" spans="1:7" ht="17.25" customHeight="1">
      <c r="A12" s="162"/>
      <c r="B12" s="26" t="s">
        <v>9</v>
      </c>
      <c r="C12" s="27">
        <v>253550000000</v>
      </c>
      <c r="D12" s="28">
        <f>126831711660-82434349793+10715250064</f>
        <v>55112611931</v>
      </c>
      <c r="E12" s="29">
        <f>D12/C12*100</f>
        <v>21.736388061920724</v>
      </c>
      <c r="F12" s="30">
        <f aca="true" t="shared" si="0" ref="F12:F32">D12/G12*100</f>
        <v>109.55474879934799</v>
      </c>
      <c r="G12" s="28">
        <v>50306000000</v>
      </c>
    </row>
    <row r="13" spans="1:7" ht="17.25" customHeight="1">
      <c r="A13" s="162"/>
      <c r="B13" s="26" t="s">
        <v>10</v>
      </c>
      <c r="C13" s="27">
        <v>27880000000</v>
      </c>
      <c r="D13" s="28">
        <f>30465468051-28461288198</f>
        <v>2004179853</v>
      </c>
      <c r="E13" s="29">
        <f aca="true" t="shared" si="1" ref="E13:E32">D13/C13*100</f>
        <v>7.188593446915352</v>
      </c>
      <c r="F13" s="30">
        <f t="shared" si="0"/>
        <v>20.295492182278483</v>
      </c>
      <c r="G13" s="28">
        <v>9875000000</v>
      </c>
    </row>
    <row r="14" spans="1:7" ht="17.25" customHeight="1">
      <c r="A14" s="162"/>
      <c r="B14" s="26" t="s">
        <v>11</v>
      </c>
      <c r="C14" s="27">
        <v>720000000</v>
      </c>
      <c r="D14" s="28">
        <f>918003061-172435216+487445670</f>
        <v>1233013515</v>
      </c>
      <c r="E14" s="29">
        <f t="shared" si="1"/>
        <v>171.25187708333334</v>
      </c>
      <c r="F14" s="30">
        <f t="shared" si="0"/>
        <v>1091.1624026548673</v>
      </c>
      <c r="G14" s="28">
        <v>113000000</v>
      </c>
    </row>
    <row r="15" spans="1:7" ht="17.25" customHeight="1">
      <c r="A15" s="162"/>
      <c r="B15" s="26" t="s">
        <v>12</v>
      </c>
      <c r="C15" s="27">
        <v>1550000000</v>
      </c>
      <c r="D15" s="28">
        <f>1227931994-745315030+9000000</f>
        <v>491616964</v>
      </c>
      <c r="E15" s="29">
        <f t="shared" si="1"/>
        <v>31.717223483870967</v>
      </c>
      <c r="F15" s="30">
        <f t="shared" si="0"/>
        <v>67.52980274725275</v>
      </c>
      <c r="G15" s="28">
        <v>728000000</v>
      </c>
    </row>
    <row r="16" spans="1:7" ht="17.25" customHeight="1">
      <c r="A16" s="162">
        <v>2</v>
      </c>
      <c r="B16" s="22" t="s">
        <v>13</v>
      </c>
      <c r="C16" s="23">
        <v>210000000000</v>
      </c>
      <c r="D16" s="23">
        <f>117421708814-83434477209</f>
        <v>33987231605</v>
      </c>
      <c r="E16" s="24">
        <f t="shared" si="1"/>
        <v>16.18439600238095</v>
      </c>
      <c r="F16" s="25">
        <f t="shared" si="0"/>
        <v>53.22647227268457</v>
      </c>
      <c r="G16" s="23">
        <v>63854000000</v>
      </c>
    </row>
    <row r="17" spans="1:7" ht="17.25" customHeight="1" hidden="1">
      <c r="A17" s="162"/>
      <c r="B17" s="26" t="s">
        <v>14</v>
      </c>
      <c r="C17" s="27"/>
      <c r="D17" s="28"/>
      <c r="E17" s="29"/>
      <c r="F17" s="30" t="e">
        <f t="shared" si="0"/>
        <v>#DIV/0!</v>
      </c>
      <c r="G17" s="28"/>
    </row>
    <row r="18" spans="1:7" ht="17.25" customHeight="1" hidden="1">
      <c r="A18" s="162"/>
      <c r="B18" s="26" t="s">
        <v>15</v>
      </c>
      <c r="C18" s="27"/>
      <c r="D18" s="28"/>
      <c r="E18" s="29"/>
      <c r="F18" s="30" t="e">
        <f t="shared" si="0"/>
        <v>#DIV/0!</v>
      </c>
      <c r="G18" s="28"/>
    </row>
    <row r="19" spans="1:7" ht="17.25" customHeight="1">
      <c r="A19" s="162">
        <v>3</v>
      </c>
      <c r="B19" s="22" t="s">
        <v>16</v>
      </c>
      <c r="C19" s="31">
        <v>127000000000</v>
      </c>
      <c r="D19" s="23">
        <f>86013694321-49540256414</f>
        <v>36473437907</v>
      </c>
      <c r="E19" s="24">
        <f t="shared" si="1"/>
        <v>28.719242446456693</v>
      </c>
      <c r="F19" s="25">
        <f t="shared" si="0"/>
        <v>79.67285853120426</v>
      </c>
      <c r="G19" s="23">
        <v>45779000000</v>
      </c>
    </row>
    <row r="20" spans="1:7" ht="17.25" customHeight="1">
      <c r="A20" s="162">
        <v>4</v>
      </c>
      <c r="B20" s="32" t="s">
        <v>111</v>
      </c>
      <c r="C20" s="31">
        <v>9460000000</v>
      </c>
      <c r="D20" s="23">
        <f>10000994098-6570438299</f>
        <v>3430555799</v>
      </c>
      <c r="E20" s="24">
        <f t="shared" si="1"/>
        <v>36.26380337209302</v>
      </c>
      <c r="F20" s="25">
        <f t="shared" si="0"/>
        <v>104.52638022547227</v>
      </c>
      <c r="G20" s="23">
        <v>3282000000</v>
      </c>
    </row>
    <row r="21" spans="1:7" ht="17.25" customHeight="1">
      <c r="A21" s="162">
        <v>5</v>
      </c>
      <c r="B21" s="22" t="s">
        <v>17</v>
      </c>
      <c r="C21" s="31">
        <v>7500000000</v>
      </c>
      <c r="D21" s="23">
        <f>5491794896-4586854072</f>
        <v>904940824</v>
      </c>
      <c r="E21" s="24">
        <f t="shared" si="1"/>
        <v>12.065877653333333</v>
      </c>
      <c r="F21" s="25">
        <f t="shared" si="0"/>
        <v>95.76093375661375</v>
      </c>
      <c r="G21" s="23">
        <v>945000000</v>
      </c>
    </row>
    <row r="22" spans="1:7" ht="17.25" customHeight="1">
      <c r="A22" s="162">
        <v>6</v>
      </c>
      <c r="B22" s="32" t="s">
        <v>18</v>
      </c>
      <c r="C22" s="31">
        <v>117000000000</v>
      </c>
      <c r="D22" s="23">
        <f>56289796158-40532420727</f>
        <v>15757375431</v>
      </c>
      <c r="E22" s="24">
        <f t="shared" si="1"/>
        <v>13.467842248717949</v>
      </c>
      <c r="F22" s="25">
        <f t="shared" si="0"/>
        <v>47.34646023556984</v>
      </c>
      <c r="G22" s="23">
        <v>33281000000</v>
      </c>
    </row>
    <row r="23" spans="1:7" ht="17.25" customHeight="1">
      <c r="A23" s="162">
        <v>7</v>
      </c>
      <c r="B23" s="35" t="s">
        <v>19</v>
      </c>
      <c r="C23" s="31">
        <v>900000000</v>
      </c>
      <c r="D23" s="23">
        <f>563374318-496711018</f>
        <v>66663300</v>
      </c>
      <c r="E23" s="29">
        <f t="shared" si="1"/>
        <v>7.407033333333334</v>
      </c>
      <c r="F23" s="30"/>
      <c r="G23" s="23">
        <v>93000000</v>
      </c>
    </row>
    <row r="24" spans="1:7" ht="17.25" customHeight="1" hidden="1">
      <c r="A24" s="162">
        <v>9</v>
      </c>
      <c r="B24" s="32" t="s">
        <v>20</v>
      </c>
      <c r="C24" s="31"/>
      <c r="D24" s="23">
        <f>D26+D27</f>
        <v>10718553650</v>
      </c>
      <c r="E24" s="29" t="e">
        <f t="shared" si="1"/>
        <v>#DIV/0!</v>
      </c>
      <c r="F24" s="30">
        <f t="shared" si="0"/>
        <v>98.76196799825921</v>
      </c>
      <c r="G24" s="23">
        <v>10852916226</v>
      </c>
    </row>
    <row r="25" spans="1:8" ht="17.25" customHeight="1">
      <c r="A25" s="162">
        <v>8</v>
      </c>
      <c r="B25" s="22" t="s">
        <v>21</v>
      </c>
      <c r="C25" s="31">
        <f>C26+C27</f>
        <v>19000000000</v>
      </c>
      <c r="D25" s="36">
        <f>D26+D27</f>
        <v>10718553650</v>
      </c>
      <c r="E25" s="24">
        <f>D25/C25*100</f>
        <v>56.4134402631579</v>
      </c>
      <c r="F25" s="25">
        <f t="shared" si="0"/>
        <v>153.51695287883126</v>
      </c>
      <c r="G25" s="36">
        <f>SUM(G26:G27)</f>
        <v>6982000000</v>
      </c>
      <c r="H25" s="21"/>
    </row>
    <row r="26" spans="1:7" s="38" customFormat="1" ht="17.25" customHeight="1">
      <c r="A26" s="163"/>
      <c r="B26" s="37" t="s">
        <v>22</v>
      </c>
      <c r="C26" s="33">
        <v>7700000000</v>
      </c>
      <c r="D26" s="34">
        <f>9219774000-4223224000</f>
        <v>4996550000</v>
      </c>
      <c r="E26" s="29">
        <f t="shared" si="1"/>
        <v>64.89025974025974</v>
      </c>
      <c r="F26" s="30">
        <f t="shared" si="0"/>
        <v>185.33197329376853</v>
      </c>
      <c r="G26" s="34">
        <v>2696000000</v>
      </c>
    </row>
    <row r="27" spans="1:8" ht="17.25" customHeight="1">
      <c r="A27" s="162"/>
      <c r="B27" s="37" t="s">
        <v>23</v>
      </c>
      <c r="C27" s="33">
        <v>11300000000</v>
      </c>
      <c r="D27" s="34">
        <f>9528486949-5293744504+1487261205</f>
        <v>5722003650</v>
      </c>
      <c r="E27" s="29">
        <f t="shared" si="1"/>
        <v>50.637200442477884</v>
      </c>
      <c r="F27" s="30">
        <f t="shared" si="0"/>
        <v>133.50451819878674</v>
      </c>
      <c r="G27" s="34">
        <v>4286000000</v>
      </c>
      <c r="H27" s="39"/>
    </row>
    <row r="28" spans="1:7" ht="17.25" customHeight="1">
      <c r="A28" s="162">
        <v>9</v>
      </c>
      <c r="B28" s="22" t="s">
        <v>24</v>
      </c>
      <c r="C28" s="31">
        <v>200000000</v>
      </c>
      <c r="D28" s="23">
        <f>2179586353-1341561514</f>
        <v>838024839</v>
      </c>
      <c r="E28" s="24">
        <f t="shared" si="1"/>
        <v>419.0124195</v>
      </c>
      <c r="F28" s="25">
        <f t="shared" si="0"/>
        <v>149.64729267857143</v>
      </c>
      <c r="G28" s="23">
        <v>560000000</v>
      </c>
    </row>
    <row r="29" spans="1:7" s="1" customFormat="1" ht="15.75">
      <c r="A29" s="154" t="s">
        <v>35</v>
      </c>
      <c r="B29" s="154" t="s">
        <v>107</v>
      </c>
      <c r="C29" s="155"/>
      <c r="D29" s="155"/>
      <c r="E29" s="24"/>
      <c r="F29" s="25"/>
      <c r="G29" s="155"/>
    </row>
    <row r="30" spans="1:7" s="161" customFormat="1" ht="35.25" customHeight="1">
      <c r="A30" s="153" t="s">
        <v>7</v>
      </c>
      <c r="B30" s="153" t="s">
        <v>108</v>
      </c>
      <c r="C30" s="160">
        <f>C31+C32</f>
        <v>767060000000</v>
      </c>
      <c r="D30" s="160">
        <f>D31+D32</f>
        <v>156259201690</v>
      </c>
      <c r="E30" s="165">
        <f t="shared" si="1"/>
        <v>20.371183700101685</v>
      </c>
      <c r="F30" s="165">
        <f t="shared" si="0"/>
        <v>70.92503571687939</v>
      </c>
      <c r="G30" s="160">
        <f>SUM(G31:G32)</f>
        <v>220316000000</v>
      </c>
    </row>
    <row r="31" spans="1:7" ht="15.75">
      <c r="A31" s="164">
        <v>1</v>
      </c>
      <c r="B31" s="149" t="s">
        <v>109</v>
      </c>
      <c r="C31" s="98">
        <f>C9-C26-C32</f>
        <v>618610000000</v>
      </c>
      <c r="D31" s="98">
        <f>D9-D26-D32+412901740-119108435-56247233</f>
        <v>111762514206</v>
      </c>
      <c r="E31" s="29">
        <f t="shared" si="1"/>
        <v>18.066716381241815</v>
      </c>
      <c r="F31" s="30">
        <f t="shared" si="0"/>
        <v>66.55422547059139</v>
      </c>
      <c r="G31" s="98">
        <v>167927000000</v>
      </c>
    </row>
    <row r="32" spans="1:7" ht="15.75">
      <c r="A32" s="164">
        <v>2</v>
      </c>
      <c r="B32" s="149" t="s">
        <v>110</v>
      </c>
      <c r="C32" s="98">
        <f>C21+C19+C28+C27+C15+C23</f>
        <v>148450000000</v>
      </c>
      <c r="D32" s="98">
        <f>D21+D19+D28+D27+D15+D23</f>
        <v>44496687484</v>
      </c>
      <c r="E32" s="29">
        <f t="shared" si="1"/>
        <v>29.97419163624116</v>
      </c>
      <c r="F32" s="30">
        <f t="shared" si="0"/>
        <v>84.93517242932677</v>
      </c>
      <c r="G32" s="98">
        <v>52389000000</v>
      </c>
    </row>
    <row r="33" spans="1:7" ht="15.75">
      <c r="A33" s="40"/>
      <c r="B33" s="40"/>
      <c r="C33" s="159"/>
      <c r="D33" s="159"/>
      <c r="E33" s="40"/>
      <c r="F33" s="40"/>
      <c r="G33" s="158"/>
    </row>
  </sheetData>
  <sheetProtection/>
  <mergeCells count="7">
    <mergeCell ref="A2:F2"/>
    <mergeCell ref="A3:F3"/>
    <mergeCell ref="A4:F4"/>
    <mergeCell ref="A6:A7"/>
    <mergeCell ref="B6:B7"/>
    <mergeCell ref="C6:C7"/>
    <mergeCell ref="E6:F6"/>
  </mergeCells>
  <printOptions/>
  <pageMargins left="0.35" right="0.24" top="0.34" bottom="1" header="0.22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N5" sqref="N5"/>
    </sheetView>
  </sheetViews>
  <sheetFormatPr defaultColWidth="9.00390625" defaultRowHeight="15.75"/>
  <cols>
    <col min="1" max="1" width="6.75390625" style="9" customWidth="1"/>
    <col min="2" max="2" width="49.875" style="9" customWidth="1"/>
    <col min="3" max="3" width="13.625" style="9" hidden="1" customWidth="1"/>
    <col min="4" max="4" width="0.37109375" style="9" hidden="1" customWidth="1"/>
    <col min="5" max="5" width="12.375" style="9" customWidth="1"/>
    <col min="6" max="6" width="15.125" style="9" hidden="1" customWidth="1"/>
    <col min="7" max="7" width="11.25390625" style="9" customWidth="1"/>
    <col min="8" max="8" width="11.625" style="9" customWidth="1"/>
    <col min="9" max="9" width="10.125" style="9" customWidth="1"/>
    <col min="10" max="10" width="8.375" style="9" customWidth="1"/>
    <col min="11" max="11" width="7.875" style="9" customWidth="1"/>
    <col min="12" max="12" width="15.125" style="9" customWidth="1"/>
    <col min="13" max="13" width="9.00390625" style="9" customWidth="1"/>
    <col min="14" max="14" width="14.50390625" style="9" bestFit="1" customWidth="1"/>
    <col min="15" max="16384" width="9.00390625" style="9" customWidth="1"/>
  </cols>
  <sheetData>
    <row r="1" spans="1:10" ht="21" customHeight="1">
      <c r="A1" s="1" t="s">
        <v>0</v>
      </c>
      <c r="B1"/>
      <c r="C1"/>
      <c r="D1"/>
      <c r="E1"/>
      <c r="F1"/>
      <c r="J1" s="188" t="s">
        <v>135</v>
      </c>
    </row>
    <row r="2" spans="1:11" ht="21" customHeight="1">
      <c r="A2" s="207" t="s">
        <v>71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21" customHeight="1">
      <c r="A3" s="207" t="s">
        <v>149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21" customHeight="1">
      <c r="A4" s="208" t="s">
        <v>155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0" ht="16.5">
      <c r="A5"/>
      <c r="B5" s="2"/>
      <c r="C5" s="3"/>
      <c r="D5" s="3"/>
      <c r="F5" s="3"/>
      <c r="J5" s="189" t="s">
        <v>124</v>
      </c>
    </row>
    <row r="6" spans="1:12" ht="19.5" customHeight="1">
      <c r="A6" s="217" t="s">
        <v>25</v>
      </c>
      <c r="B6" s="217" t="s">
        <v>26</v>
      </c>
      <c r="C6" s="41"/>
      <c r="D6" s="215" t="s">
        <v>142</v>
      </c>
      <c r="E6" s="222"/>
      <c r="F6" s="223"/>
      <c r="G6" s="215" t="s">
        <v>150</v>
      </c>
      <c r="H6" s="226" t="s">
        <v>74</v>
      </c>
      <c r="I6" s="227"/>
      <c r="J6" s="215" t="s">
        <v>27</v>
      </c>
      <c r="K6" s="217" t="s">
        <v>28</v>
      </c>
      <c r="L6" s="192" t="s">
        <v>151</v>
      </c>
    </row>
    <row r="7" spans="1:11" ht="16.5" customHeight="1">
      <c r="A7" s="228" t="s">
        <v>3</v>
      </c>
      <c r="B7" s="228"/>
      <c r="C7" s="220" t="s">
        <v>29</v>
      </c>
      <c r="D7" s="216"/>
      <c r="E7" s="224"/>
      <c r="F7" s="225"/>
      <c r="G7" s="216" t="s">
        <v>72</v>
      </c>
      <c r="H7" s="215" t="s">
        <v>75</v>
      </c>
      <c r="I7" s="215" t="s">
        <v>76</v>
      </c>
      <c r="J7" s="216"/>
      <c r="K7" s="218"/>
    </row>
    <row r="8" spans="1:11" ht="29.25" customHeight="1">
      <c r="A8" s="228"/>
      <c r="B8" s="228"/>
      <c r="C8" s="221"/>
      <c r="D8" s="216"/>
      <c r="E8" s="224"/>
      <c r="F8" s="225"/>
      <c r="G8" s="216"/>
      <c r="H8" s="216"/>
      <c r="I8" s="216"/>
      <c r="J8" s="216" t="s">
        <v>30</v>
      </c>
      <c r="K8" s="219"/>
    </row>
    <row r="9" spans="1:11" ht="19.5" customHeight="1">
      <c r="A9" s="129" t="s">
        <v>6</v>
      </c>
      <c r="B9" s="129" t="s">
        <v>7</v>
      </c>
      <c r="C9" s="42">
        <v>1</v>
      </c>
      <c r="D9" s="130"/>
      <c r="E9" s="42">
        <v>1</v>
      </c>
      <c r="F9" s="43"/>
      <c r="G9" s="44" t="s">
        <v>78</v>
      </c>
      <c r="H9" s="44">
        <v>3</v>
      </c>
      <c r="I9" s="44">
        <v>4</v>
      </c>
      <c r="J9" s="42">
        <v>5</v>
      </c>
      <c r="K9" s="42">
        <v>6</v>
      </c>
    </row>
    <row r="10" spans="1:12" s="128" customFormat="1" ht="19.5" customHeight="1">
      <c r="A10" s="144"/>
      <c r="B10" s="145" t="s">
        <v>93</v>
      </c>
      <c r="C10" s="146"/>
      <c r="D10" s="146"/>
      <c r="E10" s="147">
        <f>E11+E58+E54+E55+E56+E57</f>
        <v>897966000000</v>
      </c>
      <c r="F10" s="147" t="e">
        <f>F11+F58+F54+F55+F56+F57</f>
        <v>#REF!</v>
      </c>
      <c r="G10" s="147">
        <f>G11+G58+G54+G55+G56+G57</f>
        <v>210639395946</v>
      </c>
      <c r="H10" s="147">
        <f>H11+H58+H54+H55+H56+H57</f>
        <v>193024371866</v>
      </c>
      <c r="I10" s="147">
        <f>I11+I58+I54+I55+I56+I57</f>
        <v>17615024080</v>
      </c>
      <c r="J10" s="49">
        <f aca="true" t="shared" si="0" ref="J10:J48">G10/E10*100</f>
        <v>23.457391031063537</v>
      </c>
      <c r="K10" s="49">
        <f aca="true" t="shared" si="1" ref="K10:K48">G10/L10*100</f>
        <v>122.01234411944715</v>
      </c>
      <c r="L10" s="147">
        <v>172637774863</v>
      </c>
    </row>
    <row r="11" spans="1:12" ht="22.5" customHeight="1">
      <c r="A11" s="131" t="s">
        <v>6</v>
      </c>
      <c r="B11" s="132" t="s">
        <v>118</v>
      </c>
      <c r="C11" s="46" t="e">
        <f>C12+C20+#REF!</f>
        <v>#REF!</v>
      </c>
      <c r="D11" s="47" t="e">
        <f aca="true" t="shared" si="2" ref="D11:D21">E11+F11</f>
        <v>#REF!</v>
      </c>
      <c r="E11" s="89">
        <f>E12+E20+E52+E53</f>
        <v>872850000000</v>
      </c>
      <c r="F11" s="89" t="e">
        <f>F12+F20+F52+F53</f>
        <v>#REF!</v>
      </c>
      <c r="G11" s="89">
        <f>G12+G20+G52+G53</f>
        <v>209540149946</v>
      </c>
      <c r="H11" s="89">
        <f>H12+H20+H52+H53</f>
        <v>191925125866</v>
      </c>
      <c r="I11" s="89">
        <f>I12+I20+I52+I53</f>
        <v>17615024080</v>
      </c>
      <c r="J11" s="49">
        <f t="shared" si="0"/>
        <v>24.00643294334651</v>
      </c>
      <c r="K11" s="49">
        <f t="shared" si="1"/>
        <v>124.15995817796164</v>
      </c>
      <c r="L11" s="89">
        <v>168766285863</v>
      </c>
    </row>
    <row r="12" spans="1:14" ht="18">
      <c r="A12" s="45" t="s">
        <v>31</v>
      </c>
      <c r="B12" s="77" t="s">
        <v>32</v>
      </c>
      <c r="C12" s="46" t="e">
        <f>C13+C15+#REF!</f>
        <v>#REF!</v>
      </c>
      <c r="D12" s="47">
        <f t="shared" si="2"/>
        <v>323690000000</v>
      </c>
      <c r="E12" s="89">
        <f>SUM(E13:E19)</f>
        <v>323690000000</v>
      </c>
      <c r="F12" s="89">
        <f>SUM(F13:F19)</f>
        <v>0</v>
      </c>
      <c r="G12" s="89">
        <f>SUM(G13:G19)</f>
        <v>99898000000</v>
      </c>
      <c r="H12" s="89">
        <f>SUM(H13:H19)</f>
        <v>99898000000</v>
      </c>
      <c r="I12" s="89">
        <f>SUM(I13:I19)</f>
        <v>0</v>
      </c>
      <c r="J12" s="49">
        <f t="shared" si="0"/>
        <v>30.862244740337978</v>
      </c>
      <c r="K12" s="49">
        <f t="shared" si="1"/>
        <v>159.29061258808778</v>
      </c>
      <c r="L12" s="89">
        <v>62714304614</v>
      </c>
      <c r="N12" s="201">
        <v>263442522147</v>
      </c>
    </row>
    <row r="13" spans="1:12" ht="16.5">
      <c r="A13" s="50">
        <v>1</v>
      </c>
      <c r="B13" s="78" t="s">
        <v>33</v>
      </c>
      <c r="C13" s="51">
        <f>35310000000+27000000000</f>
        <v>62310000000</v>
      </c>
      <c r="D13" s="52">
        <f t="shared" si="2"/>
        <v>86900000000</v>
      </c>
      <c r="E13" s="91">
        <v>86900000000</v>
      </c>
      <c r="F13" s="92"/>
      <c r="G13" s="178">
        <f aca="true" t="shared" si="3" ref="G13:G19">H13+I13</f>
        <v>23131000000</v>
      </c>
      <c r="H13" s="93">
        <f>59683000000-33661000000-2891000000</f>
        <v>23131000000</v>
      </c>
      <c r="I13" s="93"/>
      <c r="J13" s="85">
        <f t="shared" si="0"/>
        <v>26.617951668584578</v>
      </c>
      <c r="K13" s="49"/>
      <c r="L13" s="178">
        <v>9866000000</v>
      </c>
    </row>
    <row r="14" spans="1:12" ht="16.5">
      <c r="A14" s="50"/>
      <c r="B14" s="79" t="s">
        <v>73</v>
      </c>
      <c r="C14" s="53"/>
      <c r="D14" s="53">
        <f t="shared" si="2"/>
        <v>0</v>
      </c>
      <c r="E14" s="94"/>
      <c r="F14" s="95"/>
      <c r="G14" s="178">
        <f t="shared" si="3"/>
        <v>0</v>
      </c>
      <c r="H14" s="96"/>
      <c r="I14" s="96"/>
      <c r="J14" s="85"/>
      <c r="K14" s="49"/>
      <c r="L14" s="178">
        <v>0</v>
      </c>
    </row>
    <row r="15" spans="1:12" ht="16.5">
      <c r="A15" s="50">
        <v>2</v>
      </c>
      <c r="B15" s="78" t="s">
        <v>34</v>
      </c>
      <c r="C15" s="51">
        <v>11570000000</v>
      </c>
      <c r="D15" s="52">
        <f t="shared" si="2"/>
        <v>25400000000</v>
      </c>
      <c r="E15" s="91">
        <v>25400000000</v>
      </c>
      <c r="F15" s="92"/>
      <c r="G15" s="178">
        <f t="shared" si="3"/>
        <v>0</v>
      </c>
      <c r="H15" s="93"/>
      <c r="I15" s="93"/>
      <c r="J15" s="85">
        <f t="shared" si="0"/>
        <v>0</v>
      </c>
      <c r="K15" s="49"/>
      <c r="L15" s="178">
        <v>6620709174</v>
      </c>
    </row>
    <row r="16" spans="1:12" ht="16.5">
      <c r="A16" s="50">
        <v>3</v>
      </c>
      <c r="B16" s="78" t="s">
        <v>137</v>
      </c>
      <c r="C16" s="51"/>
      <c r="D16" s="52"/>
      <c r="E16" s="91">
        <v>101600000000</v>
      </c>
      <c r="F16" s="92"/>
      <c r="G16" s="178">
        <f t="shared" si="3"/>
        <v>18495000000</v>
      </c>
      <c r="H16" s="93">
        <f>59454000000-40959000000</f>
        <v>18495000000</v>
      </c>
      <c r="I16" s="93"/>
      <c r="J16" s="85">
        <f t="shared" si="0"/>
        <v>18.203740157480315</v>
      </c>
      <c r="K16" s="199">
        <f t="shared" si="1"/>
        <v>84.80055020632737</v>
      </c>
      <c r="L16" s="178">
        <v>21810000000</v>
      </c>
    </row>
    <row r="17" spans="1:12" ht="18.75" customHeight="1">
      <c r="A17" s="195">
        <v>4</v>
      </c>
      <c r="B17" s="194" t="s">
        <v>145</v>
      </c>
      <c r="C17" s="51"/>
      <c r="D17" s="52"/>
      <c r="E17" s="196"/>
      <c r="F17" s="92"/>
      <c r="G17" s="196">
        <f t="shared" si="3"/>
        <v>0</v>
      </c>
      <c r="H17" s="196"/>
      <c r="I17" s="93"/>
      <c r="J17" s="85"/>
      <c r="K17" s="199">
        <f t="shared" si="1"/>
        <v>0</v>
      </c>
      <c r="L17" s="196">
        <v>-1108404560</v>
      </c>
    </row>
    <row r="18" spans="1:12" ht="16.5">
      <c r="A18" s="195">
        <v>5</v>
      </c>
      <c r="B18" s="194" t="s">
        <v>138</v>
      </c>
      <c r="C18" s="51"/>
      <c r="D18" s="52"/>
      <c r="E18" s="196">
        <v>4000000000</v>
      </c>
      <c r="F18" s="92"/>
      <c r="G18" s="196">
        <f t="shared" si="3"/>
        <v>1000000000</v>
      </c>
      <c r="H18" s="196">
        <f>5000000000-4000000000</f>
        <v>1000000000</v>
      </c>
      <c r="I18" s="93"/>
      <c r="J18" s="85">
        <f t="shared" si="0"/>
        <v>25</v>
      </c>
      <c r="K18" s="199"/>
      <c r="L18" s="196">
        <v>0</v>
      </c>
    </row>
    <row r="19" spans="1:12" ht="16.5">
      <c r="A19" s="50">
        <v>6</v>
      </c>
      <c r="B19" s="193" t="s">
        <v>136</v>
      </c>
      <c r="C19" s="51"/>
      <c r="D19" s="52"/>
      <c r="E19" s="91">
        <v>105790000000</v>
      </c>
      <c r="F19" s="92"/>
      <c r="G19" s="178">
        <f t="shared" si="3"/>
        <v>57272000000</v>
      </c>
      <c r="H19" s="93">
        <f>102943000000-45671000000</f>
        <v>57272000000</v>
      </c>
      <c r="I19" s="93"/>
      <c r="J19" s="85"/>
      <c r="K19" s="199">
        <f t="shared" si="1"/>
        <v>224.36731176055784</v>
      </c>
      <c r="L19" s="178">
        <v>25526000000</v>
      </c>
    </row>
    <row r="20" spans="1:12" ht="18">
      <c r="A20" s="45" t="s">
        <v>35</v>
      </c>
      <c r="B20" s="77" t="s">
        <v>36</v>
      </c>
      <c r="C20" s="48" t="e">
        <f>C21+C31+C32+C38+C39+C40+C42+C41+C43+C44+C45+C48+C49</f>
        <v>#REF!</v>
      </c>
      <c r="D20" s="55" t="e">
        <f t="shared" si="2"/>
        <v>#REF!</v>
      </c>
      <c r="E20" s="97">
        <f>E21+E31+E32+E38+E39+E40+E41+E42+E43+E44+E45+E48+E49+E50+E51</f>
        <v>531830000000</v>
      </c>
      <c r="F20" s="90" t="e">
        <f>F21+F31+F32+F38+F39+F40+F42+F41+F43+F44+F45+F48+F49</f>
        <v>#REF!</v>
      </c>
      <c r="G20" s="90">
        <f>G21+G31+G32+G38+G39+G40+G42+G41+G43+G44+G45+G48+G49</f>
        <v>109642149946</v>
      </c>
      <c r="H20" s="90">
        <f>H21+H31+H32+H38+H39+H40+H42+H41+H43+H44+H45+H48+H49</f>
        <v>92027125866</v>
      </c>
      <c r="I20" s="90">
        <f>I21+I31+I32+I38+I39+I40+I42+I41+I43+I44+I45+I48+I49</f>
        <v>17615024080</v>
      </c>
      <c r="J20" s="49">
        <f t="shared" si="0"/>
        <v>20.61601450576312</v>
      </c>
      <c r="K20" s="49">
        <f t="shared" si="1"/>
        <v>103.38529149075548</v>
      </c>
      <c r="L20" s="90">
        <v>106051981249</v>
      </c>
    </row>
    <row r="21" spans="1:12" s="57" customFormat="1" ht="18">
      <c r="A21" s="56">
        <v>1</v>
      </c>
      <c r="B21" s="80" t="s">
        <v>37</v>
      </c>
      <c r="C21" s="48">
        <f>C22+C23+C25+C26+C27</f>
        <v>31550000000</v>
      </c>
      <c r="D21" s="55">
        <f t="shared" si="2"/>
        <v>86373835000</v>
      </c>
      <c r="E21" s="97">
        <v>83827235000</v>
      </c>
      <c r="F21" s="90">
        <f>F22+F23+F25+F26+F27</f>
        <v>2546600000</v>
      </c>
      <c r="G21" s="90">
        <f>H21+I21</f>
        <v>9552321122</v>
      </c>
      <c r="H21" s="90">
        <f>39601017269-30904910492</f>
        <v>8696106777</v>
      </c>
      <c r="I21" s="90">
        <f>1022108845-165894500</f>
        <v>856214345</v>
      </c>
      <c r="J21" s="49">
        <f t="shared" si="0"/>
        <v>11.395247764047092</v>
      </c>
      <c r="K21" s="49">
        <f t="shared" si="1"/>
        <v>85.61718148852805</v>
      </c>
      <c r="L21" s="90">
        <v>11157014230</v>
      </c>
    </row>
    <row r="22" spans="1:12" ht="16.5" hidden="1">
      <c r="A22" s="58" t="s">
        <v>38</v>
      </c>
      <c r="B22" s="81" t="s">
        <v>39</v>
      </c>
      <c r="C22" s="51">
        <v>1700000000</v>
      </c>
      <c r="D22" s="59">
        <v>0</v>
      </c>
      <c r="E22" s="91">
        <v>0</v>
      </c>
      <c r="F22" s="92"/>
      <c r="G22" s="93"/>
      <c r="H22" s="93"/>
      <c r="I22" s="93"/>
      <c r="J22" s="49" t="e">
        <f t="shared" si="0"/>
        <v>#DIV/0!</v>
      </c>
      <c r="K22" s="49" t="e">
        <f t="shared" si="1"/>
        <v>#DIV/0!</v>
      </c>
      <c r="L22" s="93"/>
    </row>
    <row r="23" spans="1:12" s="61" customFormat="1" ht="16.5" hidden="1">
      <c r="A23" s="58" t="s">
        <v>40</v>
      </c>
      <c r="B23" s="81" t="s">
        <v>41</v>
      </c>
      <c r="C23" s="60">
        <f>8650000000</f>
        <v>8650000000</v>
      </c>
      <c r="D23" s="59">
        <f aca="true" t="shared" si="4" ref="D23:D29">E23+F23</f>
        <v>10223288000</v>
      </c>
      <c r="E23" s="91">
        <v>7676688000</v>
      </c>
      <c r="F23" s="92">
        <f>2546600000</f>
        <v>2546600000</v>
      </c>
      <c r="G23" s="92">
        <f>H23+I23</f>
        <v>289610805</v>
      </c>
      <c r="H23" s="92">
        <v>289610805</v>
      </c>
      <c r="I23" s="92"/>
      <c r="J23" s="49">
        <f t="shared" si="0"/>
        <v>3.7726009576004653</v>
      </c>
      <c r="K23" s="49">
        <f t="shared" si="1"/>
        <v>100</v>
      </c>
      <c r="L23" s="92">
        <v>289610805</v>
      </c>
    </row>
    <row r="24" spans="1:12" s="64" customFormat="1" ht="16.5" hidden="1">
      <c r="A24" s="62"/>
      <c r="B24" s="82" t="s">
        <v>42</v>
      </c>
      <c r="C24" s="54"/>
      <c r="D24" s="63">
        <f t="shared" si="4"/>
        <v>1676688000</v>
      </c>
      <c r="E24" s="94">
        <v>1676688000</v>
      </c>
      <c r="F24" s="95"/>
      <c r="G24" s="92">
        <f aca="true" t="shared" si="5" ref="G24:G31">H24+I24</f>
        <v>289610805</v>
      </c>
      <c r="H24" s="96">
        <v>289610805</v>
      </c>
      <c r="I24" s="96"/>
      <c r="J24" s="49">
        <f t="shared" si="0"/>
        <v>17.27279046548911</v>
      </c>
      <c r="K24" s="49">
        <f t="shared" si="1"/>
        <v>100</v>
      </c>
      <c r="L24" s="92">
        <v>289610805</v>
      </c>
    </row>
    <row r="25" spans="1:12" s="65" customFormat="1" ht="16.5" hidden="1">
      <c r="A25" s="58" t="s">
        <v>43</v>
      </c>
      <c r="B25" s="81" t="s">
        <v>44</v>
      </c>
      <c r="C25" s="51">
        <v>6950000000</v>
      </c>
      <c r="D25" s="59">
        <f t="shared" si="4"/>
        <v>20500000000</v>
      </c>
      <c r="E25" s="91">
        <v>20500000000</v>
      </c>
      <c r="F25" s="92"/>
      <c r="G25" s="92">
        <f t="shared" si="5"/>
        <v>1376284636</v>
      </c>
      <c r="H25" s="92">
        <v>1376284636</v>
      </c>
      <c r="I25" s="92"/>
      <c r="J25" s="49">
        <f t="shared" si="0"/>
        <v>6.713583590243903</v>
      </c>
      <c r="K25" s="49">
        <f t="shared" si="1"/>
        <v>100</v>
      </c>
      <c r="L25" s="92">
        <v>1376284636</v>
      </c>
    </row>
    <row r="26" spans="1:12" s="65" customFormat="1" ht="16.5" hidden="1">
      <c r="A26" s="58" t="s">
        <v>45</v>
      </c>
      <c r="B26" s="78" t="s">
        <v>46</v>
      </c>
      <c r="C26" s="51"/>
      <c r="D26" s="59">
        <f t="shared" si="4"/>
        <v>1000000000</v>
      </c>
      <c r="E26" s="91">
        <v>1000000000</v>
      </c>
      <c r="F26" s="92"/>
      <c r="G26" s="92">
        <f t="shared" si="5"/>
        <v>0</v>
      </c>
      <c r="H26" s="92"/>
      <c r="I26" s="92"/>
      <c r="J26" s="49">
        <f t="shared" si="0"/>
        <v>0</v>
      </c>
      <c r="K26" s="49" t="e">
        <f t="shared" si="1"/>
        <v>#DIV/0!</v>
      </c>
      <c r="L26" s="92">
        <v>0</v>
      </c>
    </row>
    <row r="27" spans="1:12" ht="16.5" hidden="1">
      <c r="A27" s="58" t="s">
        <v>47</v>
      </c>
      <c r="B27" s="81" t="s">
        <v>48</v>
      </c>
      <c r="C27" s="51">
        <f>C28+C29+C30</f>
        <v>14250000000</v>
      </c>
      <c r="D27" s="59">
        <f t="shared" si="4"/>
        <v>17448530000</v>
      </c>
      <c r="E27" s="98">
        <f>15311530000+2137000000</f>
        <v>17448530000</v>
      </c>
      <c r="F27" s="93"/>
      <c r="G27" s="92">
        <f t="shared" si="5"/>
        <v>302543986</v>
      </c>
      <c r="H27" s="93">
        <v>239823986</v>
      </c>
      <c r="I27" s="93">
        <v>62720000</v>
      </c>
      <c r="J27" s="49">
        <f t="shared" si="0"/>
        <v>1.733922490891783</v>
      </c>
      <c r="K27" s="49">
        <f t="shared" si="1"/>
        <v>100</v>
      </c>
      <c r="L27" s="92">
        <v>302543986</v>
      </c>
    </row>
    <row r="28" spans="1:12" ht="16.5" hidden="1">
      <c r="A28" s="50"/>
      <c r="B28" s="82" t="s">
        <v>49</v>
      </c>
      <c r="C28" s="54"/>
      <c r="D28" s="63">
        <f t="shared" si="4"/>
        <v>975895000</v>
      </c>
      <c r="E28" s="94">
        <v>975895000</v>
      </c>
      <c r="F28" s="92"/>
      <c r="G28" s="92">
        <f t="shared" si="5"/>
        <v>225460316</v>
      </c>
      <c r="H28" s="93">
        <f>151091777+74368539</f>
        <v>225460316</v>
      </c>
      <c r="I28" s="93"/>
      <c r="J28" s="49">
        <f t="shared" si="0"/>
        <v>23.10292767152204</v>
      </c>
      <c r="K28" s="49">
        <f t="shared" si="1"/>
        <v>100</v>
      </c>
      <c r="L28" s="92">
        <v>225460316</v>
      </c>
    </row>
    <row r="29" spans="1:12" ht="16.5" hidden="1">
      <c r="A29" s="50"/>
      <c r="B29" s="66" t="s">
        <v>50</v>
      </c>
      <c r="C29" s="54">
        <v>1500000000</v>
      </c>
      <c r="D29" s="63">
        <f t="shared" si="4"/>
        <v>1500000000</v>
      </c>
      <c r="E29" s="94">
        <v>1500000000</v>
      </c>
      <c r="F29" s="92"/>
      <c r="G29" s="92">
        <f t="shared" si="5"/>
        <v>0</v>
      </c>
      <c r="H29" s="93"/>
      <c r="I29" s="93"/>
      <c r="J29" s="49">
        <f t="shared" si="0"/>
        <v>0</v>
      </c>
      <c r="K29" s="49" t="e">
        <f t="shared" si="1"/>
        <v>#DIV/0!</v>
      </c>
      <c r="L29" s="92">
        <v>0</v>
      </c>
    </row>
    <row r="30" spans="1:12" ht="16.5" hidden="1">
      <c r="A30" s="50"/>
      <c r="B30" s="82" t="s">
        <v>51</v>
      </c>
      <c r="C30" s="54">
        <v>12750000000</v>
      </c>
      <c r="D30" s="63">
        <v>12750000000</v>
      </c>
      <c r="E30" s="94">
        <v>12750000000</v>
      </c>
      <c r="F30" s="92"/>
      <c r="G30" s="92">
        <f t="shared" si="5"/>
        <v>0</v>
      </c>
      <c r="H30" s="93"/>
      <c r="I30" s="93"/>
      <c r="J30" s="49">
        <f t="shared" si="0"/>
        <v>0</v>
      </c>
      <c r="K30" s="49" t="e">
        <f t="shared" si="1"/>
        <v>#DIV/0!</v>
      </c>
      <c r="L30" s="92">
        <v>0</v>
      </c>
    </row>
    <row r="31" spans="1:12" s="65" customFormat="1" ht="18">
      <c r="A31" s="67">
        <v>2</v>
      </c>
      <c r="B31" s="80" t="s">
        <v>52</v>
      </c>
      <c r="C31" s="48">
        <v>18190000000</v>
      </c>
      <c r="D31" s="55">
        <f aca="true" t="shared" si="6" ref="D31:D51">E31+F31</f>
        <v>33629833000</v>
      </c>
      <c r="E31" s="97">
        <v>33629833000</v>
      </c>
      <c r="F31" s="90"/>
      <c r="G31" s="90">
        <f t="shared" si="5"/>
        <v>3858088038</v>
      </c>
      <c r="H31" s="90">
        <f>16385972863-12567681924</f>
        <v>3818290939</v>
      </c>
      <c r="I31" s="90">
        <f>137769598-97972499</f>
        <v>39797099</v>
      </c>
      <c r="J31" s="49">
        <f t="shared" si="0"/>
        <v>11.472218842121517</v>
      </c>
      <c r="K31" s="49"/>
      <c r="L31" s="90">
        <v>9898737141</v>
      </c>
    </row>
    <row r="32" spans="1:12" ht="18">
      <c r="A32" s="67">
        <v>3</v>
      </c>
      <c r="B32" s="80" t="s">
        <v>53</v>
      </c>
      <c r="C32" s="48">
        <f>C33+C34+C35</f>
        <v>171110000000</v>
      </c>
      <c r="D32" s="55">
        <f t="shared" si="6"/>
        <v>225610000000</v>
      </c>
      <c r="E32" s="97">
        <v>225610000000</v>
      </c>
      <c r="F32" s="99"/>
      <c r="G32" s="100">
        <f>H32</f>
        <v>55585083527</v>
      </c>
      <c r="H32" s="100">
        <f>149149876604-93564793077</f>
        <v>55585083527</v>
      </c>
      <c r="I32" s="100"/>
      <c r="J32" s="49">
        <f t="shared" si="0"/>
        <v>24.63768606311777</v>
      </c>
      <c r="K32" s="49">
        <f t="shared" si="1"/>
        <v>112.90713239758396</v>
      </c>
      <c r="L32" s="100">
        <v>49230799106</v>
      </c>
    </row>
    <row r="33" spans="1:12" ht="16.5" hidden="1">
      <c r="A33" s="50"/>
      <c r="B33" s="81" t="s">
        <v>54</v>
      </c>
      <c r="C33" s="51">
        <v>169660000000</v>
      </c>
      <c r="D33" s="59">
        <f t="shared" si="6"/>
        <v>196695928000</v>
      </c>
      <c r="E33" s="91">
        <v>196695928000</v>
      </c>
      <c r="F33" s="92"/>
      <c r="G33" s="93">
        <f>H33+I33</f>
        <v>39437651557</v>
      </c>
      <c r="H33" s="93">
        <v>39437651557</v>
      </c>
      <c r="I33" s="93"/>
      <c r="J33" s="49">
        <f t="shared" si="0"/>
        <v>20.050059987515347</v>
      </c>
      <c r="K33" s="49">
        <f t="shared" si="1"/>
        <v>100</v>
      </c>
      <c r="L33" s="93">
        <v>39437651557</v>
      </c>
    </row>
    <row r="34" spans="1:12" s="71" customFormat="1" ht="17.25" customHeight="1" hidden="1">
      <c r="A34" s="68"/>
      <c r="B34" s="83" t="s">
        <v>77</v>
      </c>
      <c r="C34" s="69"/>
      <c r="D34" s="70">
        <f t="shared" si="6"/>
        <v>0</v>
      </c>
      <c r="E34" s="101"/>
      <c r="F34" s="102"/>
      <c r="G34" s="93">
        <f aca="true" t="shared" si="7" ref="G34:G60">H34+I34</f>
        <v>0</v>
      </c>
      <c r="H34" s="103"/>
      <c r="I34" s="103"/>
      <c r="J34" s="49" t="e">
        <f t="shared" si="0"/>
        <v>#DIV/0!</v>
      </c>
      <c r="K34" s="49" t="e">
        <f t="shared" si="1"/>
        <v>#DIV/0!</v>
      </c>
      <c r="L34" s="93">
        <v>0</v>
      </c>
    </row>
    <row r="35" spans="1:12" s="71" customFormat="1" ht="17.25" customHeight="1" hidden="1">
      <c r="A35" s="68"/>
      <c r="B35" s="81" t="s">
        <v>94</v>
      </c>
      <c r="C35" s="69">
        <v>1450000000</v>
      </c>
      <c r="D35" s="70">
        <f t="shared" si="6"/>
        <v>1637608000</v>
      </c>
      <c r="E35" s="91">
        <v>1637608000</v>
      </c>
      <c r="F35" s="102"/>
      <c r="G35" s="93">
        <f t="shared" si="7"/>
        <v>223748068</v>
      </c>
      <c r="H35" s="103">
        <f>223748068</f>
        <v>223748068</v>
      </c>
      <c r="I35" s="103"/>
      <c r="J35" s="49">
        <f t="shared" si="0"/>
        <v>13.663103013663832</v>
      </c>
      <c r="K35" s="49">
        <f t="shared" si="1"/>
        <v>100</v>
      </c>
      <c r="L35" s="93">
        <v>223748068</v>
      </c>
    </row>
    <row r="36" spans="1:12" ht="16.5" hidden="1">
      <c r="A36" s="50"/>
      <c r="B36" s="81" t="s">
        <v>55</v>
      </c>
      <c r="C36" s="51"/>
      <c r="D36" s="59">
        <f t="shared" si="6"/>
        <v>0</v>
      </c>
      <c r="E36" s="91"/>
      <c r="F36" s="92"/>
      <c r="G36" s="93">
        <f t="shared" si="7"/>
        <v>0</v>
      </c>
      <c r="H36" s="93"/>
      <c r="I36" s="93"/>
      <c r="J36" s="49" t="e">
        <f t="shared" si="0"/>
        <v>#DIV/0!</v>
      </c>
      <c r="K36" s="49" t="e">
        <f t="shared" si="1"/>
        <v>#DIV/0!</v>
      </c>
      <c r="L36" s="93">
        <v>0</v>
      </c>
    </row>
    <row r="37" spans="1:12" ht="16.5" hidden="1">
      <c r="A37" s="50"/>
      <c r="B37" s="81" t="s">
        <v>56</v>
      </c>
      <c r="C37" s="51"/>
      <c r="D37" s="59">
        <f t="shared" si="6"/>
        <v>0</v>
      </c>
      <c r="E37" s="91"/>
      <c r="F37" s="92"/>
      <c r="G37" s="93">
        <f t="shared" si="7"/>
        <v>0</v>
      </c>
      <c r="H37" s="93"/>
      <c r="I37" s="93"/>
      <c r="J37" s="49" t="e">
        <f t="shared" si="0"/>
        <v>#DIV/0!</v>
      </c>
      <c r="K37" s="49" t="e">
        <f t="shared" si="1"/>
        <v>#DIV/0!</v>
      </c>
      <c r="L37" s="93">
        <v>0</v>
      </c>
    </row>
    <row r="38" spans="1:12" s="57" customFormat="1" ht="18">
      <c r="A38" s="72">
        <v>4</v>
      </c>
      <c r="B38" s="80" t="s">
        <v>57</v>
      </c>
      <c r="C38" s="48">
        <v>2060000000</v>
      </c>
      <c r="D38" s="55">
        <f t="shared" si="6"/>
        <v>5217830000</v>
      </c>
      <c r="E38" s="97">
        <v>5217830000</v>
      </c>
      <c r="F38" s="90"/>
      <c r="G38" s="100">
        <f t="shared" si="7"/>
        <v>310173300</v>
      </c>
      <c r="H38" s="104">
        <f>1886384700-1576211400</f>
        <v>310173300</v>
      </c>
      <c r="I38" s="104"/>
      <c r="J38" s="49">
        <f t="shared" si="0"/>
        <v>5.944488417598887</v>
      </c>
      <c r="K38" s="49"/>
      <c r="L38" s="100">
        <v>311715450</v>
      </c>
    </row>
    <row r="39" spans="1:12" s="57" customFormat="1" ht="18">
      <c r="A39" s="56">
        <v>5</v>
      </c>
      <c r="B39" s="80" t="s">
        <v>58</v>
      </c>
      <c r="C39" s="48">
        <v>130000000</v>
      </c>
      <c r="D39" s="55">
        <f t="shared" si="6"/>
        <v>130000000</v>
      </c>
      <c r="E39" s="97">
        <v>130000000</v>
      </c>
      <c r="F39" s="90"/>
      <c r="G39" s="100">
        <f t="shared" si="7"/>
        <v>12452800</v>
      </c>
      <c r="H39" s="104">
        <f>15452800-3000000</f>
        <v>12452800</v>
      </c>
      <c r="I39" s="104"/>
      <c r="J39" s="49">
        <f t="shared" si="0"/>
        <v>9.579076923076924</v>
      </c>
      <c r="K39" s="49"/>
      <c r="L39" s="100">
        <v>0</v>
      </c>
    </row>
    <row r="40" spans="1:12" s="57" customFormat="1" ht="18">
      <c r="A40" s="56">
        <v>6</v>
      </c>
      <c r="B40" s="80" t="s">
        <v>59</v>
      </c>
      <c r="C40" s="48">
        <f>2350000000</f>
        <v>2350000000</v>
      </c>
      <c r="D40" s="55">
        <f t="shared" si="6"/>
        <v>4504891000</v>
      </c>
      <c r="E40" s="97">
        <v>3573891000</v>
      </c>
      <c r="F40" s="90">
        <f>931000000</f>
        <v>931000000</v>
      </c>
      <c r="G40" s="100">
        <f t="shared" si="7"/>
        <v>551008907</v>
      </c>
      <c r="H40" s="104">
        <f>973352491-765077731</f>
        <v>208274760</v>
      </c>
      <c r="I40" s="104">
        <f>1130776625-788042478</f>
        <v>342734147</v>
      </c>
      <c r="J40" s="49">
        <f t="shared" si="0"/>
        <v>15.417619255875458</v>
      </c>
      <c r="K40" s="49">
        <f t="shared" si="1"/>
        <v>81.63568683668215</v>
      </c>
      <c r="L40" s="100">
        <v>674960827</v>
      </c>
    </row>
    <row r="41" spans="1:12" s="57" customFormat="1" ht="18">
      <c r="A41" s="56">
        <v>7</v>
      </c>
      <c r="B41" s="84" t="s">
        <v>60</v>
      </c>
      <c r="C41" s="48">
        <f>850000000</f>
        <v>850000000</v>
      </c>
      <c r="D41" s="55">
        <f t="shared" si="6"/>
        <v>1123143000</v>
      </c>
      <c r="E41" s="97">
        <v>968143000</v>
      </c>
      <c r="F41" s="90">
        <v>155000000</v>
      </c>
      <c r="G41" s="100">
        <f t="shared" si="7"/>
        <v>183729731</v>
      </c>
      <c r="H41" s="104">
        <f>523998768-344749037</f>
        <v>179249731</v>
      </c>
      <c r="I41" s="104">
        <f>77519000-73039000</f>
        <v>4480000</v>
      </c>
      <c r="J41" s="49">
        <f t="shared" si="0"/>
        <v>18.977540611252678</v>
      </c>
      <c r="K41" s="49">
        <f t="shared" si="1"/>
        <v>87.86449225776778</v>
      </c>
      <c r="L41" s="100">
        <v>209105779</v>
      </c>
    </row>
    <row r="42" spans="1:12" s="57" customFormat="1" ht="18">
      <c r="A42" s="56">
        <v>8</v>
      </c>
      <c r="B42" s="80" t="s">
        <v>61</v>
      </c>
      <c r="C42" s="48">
        <v>790000000</v>
      </c>
      <c r="D42" s="55">
        <f t="shared" si="6"/>
        <v>895389000</v>
      </c>
      <c r="E42" s="97">
        <v>895389000</v>
      </c>
      <c r="F42" s="90"/>
      <c r="G42" s="100">
        <f t="shared" si="7"/>
        <v>252018484</v>
      </c>
      <c r="H42" s="104">
        <f>680995516-428977032</f>
        <v>252018484</v>
      </c>
      <c r="I42" s="104"/>
      <c r="J42" s="49">
        <f t="shared" si="0"/>
        <v>28.14625643156215</v>
      </c>
      <c r="K42" s="49">
        <f t="shared" si="1"/>
        <v>220.31066193139552</v>
      </c>
      <c r="L42" s="100">
        <v>114392323</v>
      </c>
    </row>
    <row r="43" spans="1:12" s="143" customFormat="1" ht="18">
      <c r="A43" s="134">
        <v>9</v>
      </c>
      <c r="B43" s="135" t="s">
        <v>62</v>
      </c>
      <c r="C43" s="136">
        <f>14750000000</f>
        <v>14750000000</v>
      </c>
      <c r="D43" s="137">
        <f t="shared" si="6"/>
        <v>46517852000</v>
      </c>
      <c r="E43" s="138">
        <v>46055155000</v>
      </c>
      <c r="F43" s="139">
        <v>462697000</v>
      </c>
      <c r="G43" s="140">
        <f t="shared" si="7"/>
        <v>11989954693</v>
      </c>
      <c r="H43" s="141">
        <f>31101748820-20144089527</f>
        <v>10957659293</v>
      </c>
      <c r="I43" s="141">
        <f>1373874100-341578700</f>
        <v>1032295400</v>
      </c>
      <c r="J43" s="142">
        <f t="shared" si="0"/>
        <v>26.03390368135771</v>
      </c>
      <c r="K43" s="142">
        <f t="shared" si="1"/>
        <v>119.86667940260114</v>
      </c>
      <c r="L43" s="140">
        <v>10002742007</v>
      </c>
    </row>
    <row r="44" spans="1:12" s="57" customFormat="1" ht="17.25">
      <c r="A44" s="56">
        <v>10</v>
      </c>
      <c r="B44" s="80" t="s">
        <v>63</v>
      </c>
      <c r="C44" s="48" t="e">
        <f>SUM(#REF!)</f>
        <v>#REF!</v>
      </c>
      <c r="D44" s="55" t="e">
        <f t="shared" si="6"/>
        <v>#REF!</v>
      </c>
      <c r="E44" s="105">
        <v>75905539000</v>
      </c>
      <c r="F44" s="104" t="e">
        <f>#REF!+#REF!+#REF!+#REF!</f>
        <v>#REF!</v>
      </c>
      <c r="G44" s="100">
        <f t="shared" si="7"/>
        <v>20069691111</v>
      </c>
      <c r="H44" s="104">
        <f>27668464420-17648394304</f>
        <v>10020070116</v>
      </c>
      <c r="I44" s="104">
        <f>27823153334-17773532339</f>
        <v>10049620995</v>
      </c>
      <c r="J44" s="49">
        <f t="shared" si="0"/>
        <v>26.440351225224816</v>
      </c>
      <c r="K44" s="49">
        <f t="shared" si="1"/>
        <v>137.79367587379136</v>
      </c>
      <c r="L44" s="100">
        <v>14565030640</v>
      </c>
    </row>
    <row r="45" spans="1:12" ht="18">
      <c r="A45" s="56">
        <v>11</v>
      </c>
      <c r="B45" s="80" t="s">
        <v>64</v>
      </c>
      <c r="C45" s="48">
        <f>C46+C47</f>
        <v>18840000000</v>
      </c>
      <c r="D45" s="55" t="e">
        <f t="shared" si="6"/>
        <v>#REF!</v>
      </c>
      <c r="E45" s="97">
        <f>E47+E46</f>
        <v>33897416000</v>
      </c>
      <c r="F45" s="90" t="e">
        <f>F47+F46+#REF!</f>
        <v>#REF!</v>
      </c>
      <c r="G45" s="100">
        <f t="shared" si="7"/>
        <v>7112656233</v>
      </c>
      <c r="H45" s="90">
        <f>H46+H47</f>
        <v>1897746139</v>
      </c>
      <c r="I45" s="90">
        <f>I46+I47</f>
        <v>5214910094</v>
      </c>
      <c r="J45" s="49">
        <f t="shared" si="0"/>
        <v>20.98288622648995</v>
      </c>
      <c r="K45" s="49">
        <f t="shared" si="1"/>
        <v>83.11242718112298</v>
      </c>
      <c r="L45" s="100">
        <f>SUM(L46:L47)</f>
        <v>8557873322</v>
      </c>
    </row>
    <row r="46" spans="1:12" ht="17.25">
      <c r="A46" s="56"/>
      <c r="B46" s="78" t="s">
        <v>65</v>
      </c>
      <c r="C46" s="51">
        <v>8325000000</v>
      </c>
      <c r="D46" s="59">
        <f t="shared" si="6"/>
        <v>28004182000</v>
      </c>
      <c r="E46" s="91">
        <v>17728079000</v>
      </c>
      <c r="F46" s="92">
        <v>10276103000</v>
      </c>
      <c r="G46" s="93">
        <f t="shared" si="7"/>
        <v>3151296455</v>
      </c>
      <c r="H46" s="93">
        <f>1241494542-781644902</f>
        <v>459849640</v>
      </c>
      <c r="I46" s="93">
        <f>7572929070-4881482255</f>
        <v>2691446815</v>
      </c>
      <c r="J46" s="85">
        <f t="shared" si="0"/>
        <v>17.775735628208785</v>
      </c>
      <c r="K46" s="85">
        <f t="shared" si="1"/>
        <v>84.65691266260691</v>
      </c>
      <c r="L46" s="100">
        <v>3722432529</v>
      </c>
    </row>
    <row r="47" spans="1:12" ht="17.25">
      <c r="A47" s="56"/>
      <c r="B47" s="81" t="s">
        <v>66</v>
      </c>
      <c r="C47" s="51">
        <v>10515000000</v>
      </c>
      <c r="D47" s="59">
        <f t="shared" si="6"/>
        <v>25429298000</v>
      </c>
      <c r="E47" s="91">
        <v>16169337000</v>
      </c>
      <c r="F47" s="92">
        <v>9259961000</v>
      </c>
      <c r="G47" s="93">
        <f t="shared" si="7"/>
        <v>3961359778</v>
      </c>
      <c r="H47" s="92">
        <f>4684839008-3246942509</f>
        <v>1437896499</v>
      </c>
      <c r="I47" s="92">
        <f>7459646720-4936183441</f>
        <v>2523463279</v>
      </c>
      <c r="J47" s="85">
        <f t="shared" si="0"/>
        <v>24.499209695487206</v>
      </c>
      <c r="K47" s="85">
        <f t="shared" si="1"/>
        <v>81.92344705646363</v>
      </c>
      <c r="L47" s="100">
        <v>4835440793</v>
      </c>
    </row>
    <row r="48" spans="1:12" ht="18">
      <c r="A48" s="56">
        <v>12</v>
      </c>
      <c r="B48" s="80" t="s">
        <v>67</v>
      </c>
      <c r="C48" s="48">
        <v>1570000000</v>
      </c>
      <c r="D48" s="55">
        <f t="shared" si="6"/>
        <v>2926972000</v>
      </c>
      <c r="E48" s="97">
        <v>2659150000</v>
      </c>
      <c r="F48" s="90">
        <v>267822000</v>
      </c>
      <c r="G48" s="100">
        <f t="shared" si="7"/>
        <v>164972000</v>
      </c>
      <c r="H48" s="100">
        <f>617363250-527363250</f>
        <v>90000000</v>
      </c>
      <c r="I48" s="100">
        <f>260750070-185778070</f>
        <v>74972000</v>
      </c>
      <c r="J48" s="49">
        <f t="shared" si="0"/>
        <v>6.203937348400805</v>
      </c>
      <c r="K48" s="49">
        <f t="shared" si="1"/>
        <v>12.407544121359868</v>
      </c>
      <c r="L48" s="100">
        <v>1329610424</v>
      </c>
    </row>
    <row r="49" spans="1:12" ht="18">
      <c r="A49" s="56">
        <v>13</v>
      </c>
      <c r="B49" s="80" t="s">
        <v>68</v>
      </c>
      <c r="C49" s="48"/>
      <c r="D49" s="55">
        <f t="shared" si="6"/>
        <v>11619299000</v>
      </c>
      <c r="E49" s="97">
        <v>11619299000</v>
      </c>
      <c r="F49" s="90"/>
      <c r="G49" s="100"/>
      <c r="H49" s="93"/>
      <c r="I49" s="93"/>
      <c r="J49" s="85"/>
      <c r="K49" s="85"/>
      <c r="L49" s="100"/>
    </row>
    <row r="50" spans="1:12" ht="18">
      <c r="A50" s="56">
        <v>14</v>
      </c>
      <c r="B50" s="80" t="s">
        <v>139</v>
      </c>
      <c r="C50" s="48"/>
      <c r="D50" s="55">
        <f t="shared" si="6"/>
        <v>4629000000</v>
      </c>
      <c r="E50" s="97">
        <v>4629000000</v>
      </c>
      <c r="F50" s="90"/>
      <c r="G50" s="100"/>
      <c r="H50" s="93"/>
      <c r="I50" s="93"/>
      <c r="J50" s="85"/>
      <c r="K50" s="85"/>
      <c r="L50" s="100"/>
    </row>
    <row r="51" spans="1:12" ht="18">
      <c r="A51" s="56">
        <v>15</v>
      </c>
      <c r="B51" s="80" t="s">
        <v>143</v>
      </c>
      <c r="C51" s="48"/>
      <c r="D51" s="55">
        <f t="shared" si="6"/>
        <v>3212120000</v>
      </c>
      <c r="E51" s="97">
        <v>3212120000</v>
      </c>
      <c r="F51" s="90"/>
      <c r="G51" s="100"/>
      <c r="H51" s="93"/>
      <c r="I51" s="93"/>
      <c r="J51" s="85"/>
      <c r="K51" s="85"/>
      <c r="L51" s="100"/>
    </row>
    <row r="52" spans="1:12" ht="18">
      <c r="A52" s="45" t="s">
        <v>69</v>
      </c>
      <c r="B52" s="77" t="s">
        <v>70</v>
      </c>
      <c r="C52" s="48">
        <f>8550000000</f>
        <v>8550000000</v>
      </c>
      <c r="D52" s="55">
        <f>8550000000</f>
        <v>8550000000</v>
      </c>
      <c r="E52" s="97">
        <v>17330000000</v>
      </c>
      <c r="F52" s="90">
        <v>1075000000</v>
      </c>
      <c r="G52" s="100">
        <f>H52+I52</f>
        <v>0</v>
      </c>
      <c r="H52" s="93"/>
      <c r="I52" s="93"/>
      <c r="J52" s="85"/>
      <c r="K52" s="85"/>
      <c r="L52" s="100"/>
    </row>
    <row r="53" spans="1:12" ht="18">
      <c r="A53" s="113" t="s">
        <v>92</v>
      </c>
      <c r="B53" s="114" t="s">
        <v>144</v>
      </c>
      <c r="C53" s="115"/>
      <c r="D53" s="116"/>
      <c r="E53" s="117"/>
      <c r="F53" s="118"/>
      <c r="G53" s="100">
        <f>H53+I53</f>
        <v>0</v>
      </c>
      <c r="H53" s="119"/>
      <c r="I53" s="119"/>
      <c r="J53" s="85"/>
      <c r="K53" s="85"/>
      <c r="L53" s="100"/>
    </row>
    <row r="54" spans="1:12" s="73" customFormat="1" ht="18">
      <c r="A54" s="179" t="s">
        <v>7</v>
      </c>
      <c r="B54" s="180" t="s">
        <v>116</v>
      </c>
      <c r="C54" s="51"/>
      <c r="D54" s="59"/>
      <c r="E54" s="91"/>
      <c r="F54" s="92"/>
      <c r="G54" s="100">
        <f t="shared" si="7"/>
        <v>0</v>
      </c>
      <c r="H54" s="181"/>
      <c r="I54" s="181"/>
      <c r="J54" s="85"/>
      <c r="K54" s="85"/>
      <c r="L54" s="117">
        <v>680549000</v>
      </c>
    </row>
    <row r="55" spans="1:12" s="73" customFormat="1" ht="18">
      <c r="A55" s="179" t="s">
        <v>127</v>
      </c>
      <c r="B55" s="180" t="s">
        <v>117</v>
      </c>
      <c r="C55" s="51"/>
      <c r="D55" s="59"/>
      <c r="E55" s="97"/>
      <c r="F55" s="92"/>
      <c r="G55" s="100">
        <f t="shared" si="7"/>
        <v>1099246000</v>
      </c>
      <c r="H55" s="181">
        <f>2513446000-1414200000</f>
        <v>1099246000</v>
      </c>
      <c r="I55" s="181"/>
      <c r="J55" s="85"/>
      <c r="K55" s="85"/>
      <c r="L55" s="200">
        <v>2992333000</v>
      </c>
    </row>
    <row r="56" spans="1:12" ht="18">
      <c r="A56" s="113" t="s">
        <v>128</v>
      </c>
      <c r="B56" s="114" t="s">
        <v>125</v>
      </c>
      <c r="C56" s="115"/>
      <c r="D56" s="116"/>
      <c r="E56" s="117"/>
      <c r="F56" s="118"/>
      <c r="G56" s="100">
        <f t="shared" si="7"/>
        <v>0</v>
      </c>
      <c r="H56" s="119"/>
      <c r="I56" s="119"/>
      <c r="J56" s="85"/>
      <c r="K56" s="85"/>
      <c r="L56" s="100">
        <v>0</v>
      </c>
    </row>
    <row r="57" spans="1:12" ht="18">
      <c r="A57" s="113" t="s">
        <v>129</v>
      </c>
      <c r="B57" s="114" t="s">
        <v>126</v>
      </c>
      <c r="C57" s="115"/>
      <c r="D57" s="116"/>
      <c r="E57" s="117"/>
      <c r="F57" s="118"/>
      <c r="G57" s="190">
        <f t="shared" si="7"/>
        <v>0</v>
      </c>
      <c r="H57" s="119"/>
      <c r="I57" s="119"/>
      <c r="J57" s="85"/>
      <c r="K57" s="85"/>
      <c r="L57" s="191">
        <v>198607000</v>
      </c>
    </row>
    <row r="58" spans="1:12" ht="18">
      <c r="A58" s="113" t="s">
        <v>130</v>
      </c>
      <c r="B58" s="114" t="s">
        <v>89</v>
      </c>
      <c r="C58" s="115"/>
      <c r="D58" s="116"/>
      <c r="E58" s="117">
        <f>SUM(E59:E60)</f>
        <v>25116000000</v>
      </c>
      <c r="F58" s="117">
        <f>SUM(F59:F60)</f>
        <v>0</v>
      </c>
      <c r="G58" s="117">
        <f>SUM(G59:G60)</f>
        <v>0</v>
      </c>
      <c r="H58" s="117">
        <f>SUM(H59:H60)</f>
        <v>0</v>
      </c>
      <c r="I58" s="117">
        <f>SUM(I59:I60)</f>
        <v>0</v>
      </c>
      <c r="J58" s="197">
        <f>G58/E58*100</f>
        <v>0</v>
      </c>
      <c r="K58" s="198"/>
      <c r="L58" s="117"/>
    </row>
    <row r="59" spans="1:12" s="128" customFormat="1" ht="16.5">
      <c r="A59" s="122">
        <v>1</v>
      </c>
      <c r="B59" s="123" t="s">
        <v>90</v>
      </c>
      <c r="C59" s="124"/>
      <c r="D59" s="125"/>
      <c r="E59" s="126"/>
      <c r="F59" s="127"/>
      <c r="G59" s="93"/>
      <c r="H59" s="93"/>
      <c r="I59" s="119"/>
      <c r="J59" s="85"/>
      <c r="K59" s="120"/>
      <c r="L59" s="93"/>
    </row>
    <row r="60" spans="1:12" s="128" customFormat="1" ht="16.5">
      <c r="A60" s="122">
        <v>2</v>
      </c>
      <c r="B60" s="123" t="s">
        <v>91</v>
      </c>
      <c r="C60" s="124"/>
      <c r="D60" s="125"/>
      <c r="E60" s="126">
        <v>25116000000</v>
      </c>
      <c r="F60" s="127"/>
      <c r="G60" s="93">
        <f t="shared" si="7"/>
        <v>0</v>
      </c>
      <c r="H60" s="177"/>
      <c r="I60" s="119"/>
      <c r="J60" s="85">
        <f>G60/E60*100</f>
        <v>0</v>
      </c>
      <c r="K60" s="120"/>
      <c r="L60" s="93"/>
    </row>
    <row r="61" spans="1:12" ht="18">
      <c r="A61" s="121"/>
      <c r="B61" s="86"/>
      <c r="C61" s="87"/>
      <c r="D61" s="88"/>
      <c r="E61" s="106"/>
      <c r="F61" s="107"/>
      <c r="G61" s="166"/>
      <c r="H61" s="108"/>
      <c r="I61" s="108"/>
      <c r="J61" s="133"/>
      <c r="K61" s="133"/>
      <c r="L61" s="191"/>
    </row>
    <row r="62" spans="1:3" ht="16.5">
      <c r="A62" s="74"/>
      <c r="B62" s="75"/>
      <c r="C62" s="75"/>
    </row>
    <row r="63" spans="2:3" ht="16.5">
      <c r="B63" s="75"/>
      <c r="C63" s="75"/>
    </row>
    <row r="64" spans="1:3" ht="16.5">
      <c r="A64" s="75"/>
      <c r="B64" s="75"/>
      <c r="C64" s="75"/>
    </row>
    <row r="65" spans="2:3" ht="16.5">
      <c r="B65" s="76"/>
      <c r="C65" s="76"/>
    </row>
  </sheetData>
  <sheetProtection/>
  <mergeCells count="13">
    <mergeCell ref="A6:A8"/>
    <mergeCell ref="B6:B8"/>
    <mergeCell ref="A4:K4"/>
    <mergeCell ref="A2:K2"/>
    <mergeCell ref="A3:K3"/>
    <mergeCell ref="G6:G8"/>
    <mergeCell ref="J6:J8"/>
    <mergeCell ref="K6:K8"/>
    <mergeCell ref="C7:C8"/>
    <mergeCell ref="D6:F8"/>
    <mergeCell ref="H6:I6"/>
    <mergeCell ref="H7:H8"/>
    <mergeCell ref="I7:I8"/>
  </mergeCells>
  <printOptions/>
  <pageMargins left="0.33" right="0.2" top="0.27" bottom="0.36" header="0.17" footer="0.29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Truong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Truong</dc:creator>
  <cp:keywords/>
  <dc:description/>
  <cp:lastModifiedBy>pc 2020</cp:lastModifiedBy>
  <cp:lastPrinted>2022-04-04T10:02:51Z</cp:lastPrinted>
  <dcterms:created xsi:type="dcterms:W3CDTF">2017-04-14T10:06:21Z</dcterms:created>
  <dcterms:modified xsi:type="dcterms:W3CDTF">2023-10-09T09:07:51Z</dcterms:modified>
  <cp:category/>
  <cp:version/>
  <cp:contentType/>
  <cp:contentStatus/>
</cp:coreProperties>
</file>